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40" yWindow="75" windowWidth="20115" windowHeight="7995" firstSheet="5" activeTab="7"/>
  </bookViews>
  <sheets>
    <sheet name="Foaie1" sheetId="1" r:id="rId1"/>
    <sheet name="Foaie2" sheetId="2" r:id="rId2"/>
    <sheet name="Obelisc" sheetId="3" r:id="rId3"/>
    <sheet name="CMJ" sheetId="4" r:id="rId4"/>
    <sheet name="DGASPC Sighi" sheetId="5" r:id="rId5"/>
    <sheet name="Eficientizare" sheetId="6" r:id="rId6"/>
    <sheet name="Cheltuieli eligibile" sheetId="7" r:id="rId7"/>
    <sheet name="Cheltuieli neeligibile" sheetId="8" r:id="rId8"/>
    <sheet name="Utilaje" sheetId="9" r:id="rId9"/>
  </sheets>
  <definedNames>
    <definedName name="_xlnm.Print_Area" localSheetId="7">'Cheltuieli neeligibile'!$A$1:$E$40</definedName>
    <definedName name="_xlnm.Print_Area" localSheetId="5">Eficientizare!$A$1:$E$77</definedName>
  </definedNames>
  <calcPr calcId="145621"/>
</workbook>
</file>

<file path=xl/calcChain.xml><?xml version="1.0" encoding="utf-8"?>
<calcChain xmlns="http://schemas.openxmlformats.org/spreadsheetml/2006/main">
  <c r="L27" i="8" l="1"/>
  <c r="E59" i="7"/>
  <c r="D59" i="7"/>
  <c r="E33" i="8"/>
  <c r="E55" i="9" l="1"/>
  <c r="D41" i="7" l="1"/>
  <c r="D67" i="6"/>
  <c r="D68" i="6"/>
  <c r="B55" i="9" l="1"/>
  <c r="C23" i="8"/>
  <c r="E31" i="8"/>
  <c r="E30" i="8"/>
  <c r="E29" i="8"/>
  <c r="C27" i="8"/>
  <c r="C32" i="8" s="1"/>
  <c r="D26" i="8"/>
  <c r="E26" i="8" s="1"/>
  <c r="D22" i="8"/>
  <c r="E22" i="8" s="1"/>
  <c r="D19" i="8"/>
  <c r="E19" i="8" s="1"/>
  <c r="C16" i="8"/>
  <c r="D15" i="8"/>
  <c r="D14" i="8"/>
  <c r="E14" i="8" s="1"/>
  <c r="D13" i="8"/>
  <c r="E13" i="8" s="1"/>
  <c r="D55" i="7"/>
  <c r="D56" i="7"/>
  <c r="E56" i="7" s="1"/>
  <c r="D57" i="7"/>
  <c r="E57" i="7" s="1"/>
  <c r="D54" i="7"/>
  <c r="E54" i="7" s="1"/>
  <c r="C58" i="7"/>
  <c r="D29" i="7"/>
  <c r="E29" i="7" s="1"/>
  <c r="D30" i="7"/>
  <c r="E30" i="7" s="1"/>
  <c r="D31" i="7"/>
  <c r="E31" i="7" s="1"/>
  <c r="D32" i="7"/>
  <c r="E32" i="7" s="1"/>
  <c r="D20" i="7"/>
  <c r="D21" i="7"/>
  <c r="E21" i="7" s="1"/>
  <c r="D19" i="7"/>
  <c r="E19" i="7" s="1"/>
  <c r="C51" i="7"/>
  <c r="D45" i="7"/>
  <c r="E45" i="7" s="1"/>
  <c r="D44" i="7"/>
  <c r="E44" i="7" s="1"/>
  <c r="D43" i="7"/>
  <c r="E43" i="7" s="1"/>
  <c r="D42" i="7"/>
  <c r="E42" i="7" s="1"/>
  <c r="E41" i="7"/>
  <c r="D37" i="7"/>
  <c r="E37" i="7" s="1"/>
  <c r="D36" i="7"/>
  <c r="E36" i="7" s="1"/>
  <c r="D35" i="7"/>
  <c r="E35" i="7" s="1"/>
  <c r="C34" i="7"/>
  <c r="D34" i="7" s="1"/>
  <c r="E34" i="7" s="1"/>
  <c r="D28" i="7"/>
  <c r="E28" i="7" s="1"/>
  <c r="D27" i="7"/>
  <c r="E27" i="7" s="1"/>
  <c r="D26" i="7"/>
  <c r="E26" i="7" s="1"/>
  <c r="D25" i="7"/>
  <c r="E25" i="7" s="1"/>
  <c r="D24" i="7"/>
  <c r="E24" i="7" s="1"/>
  <c r="D23" i="7"/>
  <c r="E23" i="7" s="1"/>
  <c r="C22" i="7"/>
  <c r="D22" i="7" s="1"/>
  <c r="E22" i="7" s="1"/>
  <c r="D18" i="7"/>
  <c r="E18" i="7" s="1"/>
  <c r="D17" i="7"/>
  <c r="E17" i="7" s="1"/>
  <c r="D16" i="7"/>
  <c r="E16" i="7" s="1"/>
  <c r="C15" i="7"/>
  <c r="D15" i="7" s="1"/>
  <c r="E15" i="7" s="1"/>
  <c r="D69" i="6"/>
  <c r="D61" i="6"/>
  <c r="D66" i="6"/>
  <c r="C38" i="6"/>
  <c r="C37" i="6" s="1"/>
  <c r="C24" i="6"/>
  <c r="D24" i="6"/>
  <c r="C19" i="6"/>
  <c r="D10" i="6"/>
  <c r="E10" i="6"/>
  <c r="D11" i="6"/>
  <c r="E11" i="6" s="1"/>
  <c r="D12" i="6"/>
  <c r="C13" i="6"/>
  <c r="D13" i="6"/>
  <c r="D16" i="6"/>
  <c r="E16" i="6"/>
  <c r="D19" i="6"/>
  <c r="E19" i="6" s="1"/>
  <c r="D20" i="6"/>
  <c r="E20" i="6"/>
  <c r="D21" i="6"/>
  <c r="E21" i="6"/>
  <c r="D22" i="6"/>
  <c r="E22" i="6" s="1"/>
  <c r="D23" i="6"/>
  <c r="E23" i="6"/>
  <c r="D25" i="6"/>
  <c r="E25" i="6" s="1"/>
  <c r="C26" i="6"/>
  <c r="D26" i="6"/>
  <c r="E26" i="6" s="1"/>
  <c r="D27" i="6"/>
  <c r="E27" i="6" s="1"/>
  <c r="D28" i="6"/>
  <c r="E28" i="6"/>
  <c r="D29" i="6"/>
  <c r="E29" i="6" s="1"/>
  <c r="D30" i="6"/>
  <c r="E30" i="6"/>
  <c r="D31" i="6"/>
  <c r="E31" i="6"/>
  <c r="D32" i="6"/>
  <c r="E32" i="6" s="1"/>
  <c r="D33" i="6"/>
  <c r="E33" i="6" s="1"/>
  <c r="D34" i="6"/>
  <c r="E34" i="6"/>
  <c r="D35" i="6"/>
  <c r="E35" i="6" s="1"/>
  <c r="D36" i="6"/>
  <c r="E36" i="6"/>
  <c r="D39" i="6"/>
  <c r="E39" i="6"/>
  <c r="D40" i="6"/>
  <c r="E40" i="6" s="1"/>
  <c r="D41" i="6"/>
  <c r="E41" i="6" s="1"/>
  <c r="D45" i="6"/>
  <c r="E45" i="6" s="1"/>
  <c r="D46" i="6"/>
  <c r="E46" i="6" s="1"/>
  <c r="D47" i="6"/>
  <c r="D48" i="6"/>
  <c r="E48" i="6"/>
  <c r="D49" i="6"/>
  <c r="E49" i="6"/>
  <c r="C55" i="6"/>
  <c r="C58" i="6"/>
  <c r="E58" i="6" s="1"/>
  <c r="D58" i="6"/>
  <c r="D59" i="6"/>
  <c r="E59" i="6"/>
  <c r="D60" i="6"/>
  <c r="E60" i="6" s="1"/>
  <c r="E63" i="6"/>
  <c r="E64" i="6"/>
  <c r="E66" i="6"/>
  <c r="E67" i="6"/>
  <c r="E68" i="6"/>
  <c r="D72" i="6"/>
  <c r="E72" i="6"/>
  <c r="D73" i="6"/>
  <c r="E73" i="6"/>
  <c r="C74" i="6"/>
  <c r="D74" i="6" s="1"/>
  <c r="C77" i="6"/>
  <c r="D77" i="6" s="1"/>
  <c r="D6" i="5"/>
  <c r="E6" i="5" s="1"/>
  <c r="D7" i="5"/>
  <c r="E7" i="5"/>
  <c r="D8" i="5"/>
  <c r="C9" i="5"/>
  <c r="D9" i="5" s="1"/>
  <c r="E9" i="5" s="1"/>
  <c r="N9" i="5"/>
  <c r="R9" i="5"/>
  <c r="S9" i="5" s="1"/>
  <c r="L10" i="5"/>
  <c r="M10" i="5"/>
  <c r="M9" i="5" s="1"/>
  <c r="L11" i="5"/>
  <c r="M11" i="5"/>
  <c r="D12" i="5"/>
  <c r="E12" i="5"/>
  <c r="M12" i="5"/>
  <c r="Q12" i="5"/>
  <c r="M13" i="5"/>
  <c r="M14" i="5"/>
  <c r="D15" i="5"/>
  <c r="E15" i="5" s="1"/>
  <c r="M15" i="5"/>
  <c r="W15" i="5"/>
  <c r="D16" i="5"/>
  <c r="E16" i="5"/>
  <c r="D17" i="5"/>
  <c r="E17" i="5"/>
  <c r="I17" i="5"/>
  <c r="D18" i="5"/>
  <c r="E18" i="5" s="1"/>
  <c r="N18" i="5"/>
  <c r="S18" i="5" s="1"/>
  <c r="T18" i="5" s="1"/>
  <c r="R18" i="5"/>
  <c r="V18" i="5"/>
  <c r="D19" i="5"/>
  <c r="E19" i="5"/>
  <c r="D20" i="5"/>
  <c r="E20" i="5"/>
  <c r="K20" i="5"/>
  <c r="S20" i="5"/>
  <c r="D21" i="5"/>
  <c r="E21" i="5"/>
  <c r="S21" i="5"/>
  <c r="T21" i="5"/>
  <c r="T25" i="5" s="1"/>
  <c r="U21" i="5"/>
  <c r="C22" i="5"/>
  <c r="D22" i="5" s="1"/>
  <c r="E22" i="5" s="1"/>
  <c r="U22" i="5"/>
  <c r="D23" i="5"/>
  <c r="E23" i="5" s="1"/>
  <c r="U23" i="5"/>
  <c r="D24" i="5"/>
  <c r="E24" i="5" s="1"/>
  <c r="U24" i="5"/>
  <c r="D25" i="5"/>
  <c r="E25" i="5"/>
  <c r="N25" i="5"/>
  <c r="D26" i="5"/>
  <c r="E26" i="5" s="1"/>
  <c r="T26" i="5"/>
  <c r="U26" i="5"/>
  <c r="D27" i="5"/>
  <c r="E27" i="5" s="1"/>
  <c r="N27" i="5"/>
  <c r="T27" i="5"/>
  <c r="U27" i="5"/>
  <c r="D28" i="5"/>
  <c r="E28" i="5"/>
  <c r="D29" i="5"/>
  <c r="E29" i="5"/>
  <c r="D30" i="5"/>
  <c r="E30" i="5" s="1"/>
  <c r="D31" i="5"/>
  <c r="E31" i="5"/>
  <c r="D32" i="5"/>
  <c r="E32" i="5"/>
  <c r="C33" i="5"/>
  <c r="D33" i="5" s="1"/>
  <c r="C34" i="5"/>
  <c r="D34" i="5"/>
  <c r="E34" i="5"/>
  <c r="D35" i="5"/>
  <c r="E35" i="5"/>
  <c r="D36" i="5"/>
  <c r="E36" i="5" s="1"/>
  <c r="D37" i="5"/>
  <c r="E37" i="5"/>
  <c r="D41" i="5"/>
  <c r="D51" i="5" s="1"/>
  <c r="E51" i="5" s="1"/>
  <c r="E41" i="5"/>
  <c r="D42" i="5"/>
  <c r="E42" i="5"/>
  <c r="D43" i="5"/>
  <c r="E43" i="5" s="1"/>
  <c r="D44" i="5"/>
  <c r="E44" i="5"/>
  <c r="D45" i="5"/>
  <c r="E45" i="5" s="1"/>
  <c r="C51" i="5"/>
  <c r="C54" i="5"/>
  <c r="D54" i="5" s="1"/>
  <c r="D65" i="5" s="1"/>
  <c r="D55" i="5"/>
  <c r="E55" i="5" s="1"/>
  <c r="D56" i="5"/>
  <c r="E56" i="5"/>
  <c r="I58" i="5"/>
  <c r="C59" i="5"/>
  <c r="C61" i="5" s="1"/>
  <c r="E61" i="5" s="1"/>
  <c r="E59" i="5"/>
  <c r="C60" i="5"/>
  <c r="E60" i="5" s="1"/>
  <c r="E62" i="5"/>
  <c r="D63" i="5"/>
  <c r="E63" i="5"/>
  <c r="D64" i="5"/>
  <c r="E64" i="5" s="1"/>
  <c r="D68" i="5"/>
  <c r="E68" i="5" s="1"/>
  <c r="D69" i="5"/>
  <c r="E69" i="5"/>
  <c r="C70" i="5"/>
  <c r="D70" i="5" s="1"/>
  <c r="E70" i="5" s="1"/>
  <c r="C73" i="5"/>
  <c r="D73" i="5"/>
  <c r="E73" i="5"/>
  <c r="C9" i="4"/>
  <c r="D9" i="4"/>
  <c r="E9" i="4"/>
  <c r="D12" i="4"/>
  <c r="E12" i="4" s="1"/>
  <c r="C15" i="4"/>
  <c r="E15" i="4" s="1"/>
  <c r="D15" i="4"/>
  <c r="D16" i="4"/>
  <c r="E16" i="4" s="1"/>
  <c r="D17" i="4"/>
  <c r="E17" i="4"/>
  <c r="D18" i="4"/>
  <c r="E18" i="4"/>
  <c r="D19" i="4"/>
  <c r="E19" i="4" s="1"/>
  <c r="D20" i="4"/>
  <c r="E20" i="4"/>
  <c r="D21" i="4"/>
  <c r="E21" i="4" s="1"/>
  <c r="C22" i="4"/>
  <c r="D22" i="4" s="1"/>
  <c r="E22" i="4" s="1"/>
  <c r="D23" i="4"/>
  <c r="E23" i="4" s="1"/>
  <c r="D24" i="4"/>
  <c r="E24" i="4"/>
  <c r="D25" i="4"/>
  <c r="E25" i="4" s="1"/>
  <c r="D26" i="4"/>
  <c r="E26" i="4"/>
  <c r="E27" i="4"/>
  <c r="D28" i="4"/>
  <c r="E28" i="4" s="1"/>
  <c r="D29" i="4"/>
  <c r="E29" i="4"/>
  <c r="D30" i="4"/>
  <c r="E30" i="4"/>
  <c r="C34" i="4"/>
  <c r="C33" i="4" s="1"/>
  <c r="D34" i="4"/>
  <c r="D35" i="4"/>
  <c r="E35" i="4" s="1"/>
  <c r="D36" i="4"/>
  <c r="E36" i="4"/>
  <c r="D37" i="4"/>
  <c r="E37" i="4"/>
  <c r="D41" i="4"/>
  <c r="E41" i="4"/>
  <c r="D42" i="4"/>
  <c r="E42" i="4"/>
  <c r="D43" i="4"/>
  <c r="E43" i="4"/>
  <c r="D44" i="4"/>
  <c r="E44" i="4" s="1"/>
  <c r="C45" i="4"/>
  <c r="E45" i="4" s="1"/>
  <c r="D45" i="4"/>
  <c r="C54" i="4"/>
  <c r="D54" i="4"/>
  <c r="E54" i="4" s="1"/>
  <c r="D55" i="4"/>
  <c r="E55" i="4"/>
  <c r="D56" i="4"/>
  <c r="E56" i="4"/>
  <c r="C57" i="4"/>
  <c r="E57" i="4" s="1"/>
  <c r="E59" i="4"/>
  <c r="E60" i="4"/>
  <c r="E61" i="4"/>
  <c r="E62" i="4"/>
  <c r="D63" i="4"/>
  <c r="D65" i="4" s="1"/>
  <c r="E64" i="4"/>
  <c r="C65" i="4"/>
  <c r="E65" i="4" s="1"/>
  <c r="D68" i="4"/>
  <c r="E68" i="4" s="1"/>
  <c r="D69" i="4"/>
  <c r="E69" i="4"/>
  <c r="C70" i="4"/>
  <c r="D70" i="4" s="1"/>
  <c r="C73" i="4"/>
  <c r="D73" i="4"/>
  <c r="E73" i="4"/>
  <c r="C9" i="3"/>
  <c r="D9" i="3" s="1"/>
  <c r="E9" i="3" s="1"/>
  <c r="D12" i="3"/>
  <c r="E12" i="3" s="1"/>
  <c r="C15" i="3"/>
  <c r="D15" i="3" s="1"/>
  <c r="E15" i="3" s="1"/>
  <c r="D16" i="3"/>
  <c r="E16" i="3" s="1"/>
  <c r="D17" i="3"/>
  <c r="E17" i="3"/>
  <c r="D18" i="3"/>
  <c r="E18" i="3" s="1"/>
  <c r="D19" i="3"/>
  <c r="E19" i="3"/>
  <c r="D20" i="3"/>
  <c r="E20" i="3"/>
  <c r="D21" i="3"/>
  <c r="E21" i="3"/>
  <c r="C22" i="3"/>
  <c r="D22" i="3" s="1"/>
  <c r="E22" i="3" s="1"/>
  <c r="D23" i="3"/>
  <c r="E23" i="3" s="1"/>
  <c r="D24" i="3"/>
  <c r="E24" i="3"/>
  <c r="D25" i="3"/>
  <c r="E25" i="3" s="1"/>
  <c r="D26" i="3"/>
  <c r="E26" i="3" s="1"/>
  <c r="E27" i="3"/>
  <c r="D28" i="3"/>
  <c r="E28" i="3" s="1"/>
  <c r="D29" i="3"/>
  <c r="E29" i="3"/>
  <c r="D30" i="3"/>
  <c r="E30" i="3" s="1"/>
  <c r="C34" i="3"/>
  <c r="C33" i="3" s="1"/>
  <c r="D35" i="3"/>
  <c r="E35" i="3" s="1"/>
  <c r="D36" i="3"/>
  <c r="E36" i="3"/>
  <c r="D37" i="3"/>
  <c r="E37" i="3" s="1"/>
  <c r="H39" i="3"/>
  <c r="D41" i="3"/>
  <c r="E41" i="3"/>
  <c r="D42" i="3"/>
  <c r="E42" i="3" s="1"/>
  <c r="D43" i="3"/>
  <c r="E43" i="3"/>
  <c r="D44" i="3"/>
  <c r="E44" i="3" s="1"/>
  <c r="C45" i="3"/>
  <c r="E45" i="3" s="1"/>
  <c r="D45" i="3"/>
  <c r="C51" i="3"/>
  <c r="D51" i="3" s="1"/>
  <c r="E51" i="3" s="1"/>
  <c r="C54" i="3"/>
  <c r="D54" i="3" s="1"/>
  <c r="D65" i="3" s="1"/>
  <c r="D55" i="3"/>
  <c r="E55" i="3" s="1"/>
  <c r="D56" i="3"/>
  <c r="E56" i="3"/>
  <c r="C57" i="3"/>
  <c r="E57" i="3" s="1"/>
  <c r="E59" i="3"/>
  <c r="E60" i="3"/>
  <c r="E61" i="3"/>
  <c r="E62" i="3"/>
  <c r="D63" i="3"/>
  <c r="E63" i="3"/>
  <c r="E64" i="3"/>
  <c r="H67" i="3"/>
  <c r="D68" i="3"/>
  <c r="E68" i="3"/>
  <c r="D69" i="3"/>
  <c r="E69" i="3"/>
  <c r="C70" i="3"/>
  <c r="D70" i="3"/>
  <c r="E70" i="3"/>
  <c r="M71" i="3"/>
  <c r="M72" i="3" s="1"/>
  <c r="I72" i="3"/>
  <c r="J68" i="3" s="1"/>
  <c r="C73" i="3"/>
  <c r="D73" i="3"/>
  <c r="E73" i="3"/>
  <c r="C9" i="2"/>
  <c r="D9" i="2" s="1"/>
  <c r="E9" i="2" s="1"/>
  <c r="D12" i="2"/>
  <c r="E12" i="2" s="1"/>
  <c r="D15" i="2"/>
  <c r="E15" i="2"/>
  <c r="D16" i="2"/>
  <c r="E16" i="2"/>
  <c r="D17" i="2"/>
  <c r="E17" i="2"/>
  <c r="D18" i="2"/>
  <c r="E18" i="2" s="1"/>
  <c r="D19" i="2"/>
  <c r="E19" i="2"/>
  <c r="D20" i="2"/>
  <c r="E20" i="2" s="1"/>
  <c r="D21" i="2"/>
  <c r="E21" i="2"/>
  <c r="D22" i="2"/>
  <c r="E22" i="2"/>
  <c r="D23" i="2"/>
  <c r="E23" i="2"/>
  <c r="D24" i="2"/>
  <c r="E24" i="2" s="1"/>
  <c r="D25" i="2"/>
  <c r="E25" i="2"/>
  <c r="D26" i="2"/>
  <c r="E26" i="2" s="1"/>
  <c r="E27" i="2"/>
  <c r="D28" i="2"/>
  <c r="E28" i="2" s="1"/>
  <c r="D29" i="2"/>
  <c r="E29" i="2" s="1"/>
  <c r="D30" i="2"/>
  <c r="E30" i="2"/>
  <c r="C34" i="2"/>
  <c r="C33" i="2" s="1"/>
  <c r="D35" i="2"/>
  <c r="E35" i="2" s="1"/>
  <c r="D36" i="2"/>
  <c r="E36" i="2" s="1"/>
  <c r="D37" i="2"/>
  <c r="E37" i="2"/>
  <c r="H39" i="2"/>
  <c r="C41" i="2"/>
  <c r="D41" i="2"/>
  <c r="E41" i="2"/>
  <c r="D42" i="2"/>
  <c r="E42" i="2"/>
  <c r="D43" i="2"/>
  <c r="E43" i="2"/>
  <c r="D45" i="2"/>
  <c r="E45" i="2" s="1"/>
  <c r="D46" i="2"/>
  <c r="E46" i="2"/>
  <c r="D47" i="2"/>
  <c r="E47" i="2" s="1"/>
  <c r="D48" i="2"/>
  <c r="E48" i="2"/>
  <c r="D49" i="2"/>
  <c r="E49" i="2"/>
  <c r="D50" i="2"/>
  <c r="E50" i="2"/>
  <c r="D51" i="2"/>
  <c r="E51" i="2" s="1"/>
  <c r="D52" i="2"/>
  <c r="E52" i="2"/>
  <c r="D53" i="2"/>
  <c r="E53" i="2" s="1"/>
  <c r="D54" i="2"/>
  <c r="E54" i="2"/>
  <c r="D55" i="2"/>
  <c r="E55" i="2"/>
  <c r="D56" i="2"/>
  <c r="E56" i="2"/>
  <c r="C57" i="2"/>
  <c r="D57" i="2" s="1"/>
  <c r="D59" i="2"/>
  <c r="E59" i="2" s="1"/>
  <c r="D60" i="2"/>
  <c r="E60" i="2"/>
  <c r="C61" i="2"/>
  <c r="D61" i="2" s="1"/>
  <c r="E61" i="2" s="1"/>
  <c r="C70" i="2"/>
  <c r="D70" i="2"/>
  <c r="E70" i="2"/>
  <c r="C73" i="2"/>
  <c r="C81" i="2" s="1"/>
  <c r="E75" i="2"/>
  <c r="E76" i="2"/>
  <c r="E77" i="2"/>
  <c r="E78" i="2"/>
  <c r="D79" i="2"/>
  <c r="D81" i="2" s="1"/>
  <c r="E79" i="2"/>
  <c r="E80" i="2"/>
  <c r="D84" i="2"/>
  <c r="E84" i="2" s="1"/>
  <c r="D85" i="2"/>
  <c r="E85" i="2"/>
  <c r="C86" i="2"/>
  <c r="E86" i="2" s="1"/>
  <c r="D86" i="2"/>
  <c r="E65" i="6"/>
  <c r="D38" i="6"/>
  <c r="E38" i="6"/>
  <c r="E24" i="6"/>
  <c r="E13" i="6"/>
  <c r="C61" i="6"/>
  <c r="C69" i="6" s="1"/>
  <c r="S25" i="5" l="1"/>
  <c r="R25" i="5" s="1"/>
  <c r="U25" i="5"/>
  <c r="V25" i="5" s="1"/>
  <c r="D71" i="5"/>
  <c r="L9" i="5"/>
  <c r="Q20" i="5" s="1"/>
  <c r="S14" i="5"/>
  <c r="N26" i="5"/>
  <c r="E81" i="2"/>
  <c r="C38" i="3"/>
  <c r="D33" i="3"/>
  <c r="D38" i="3" s="1"/>
  <c r="D71" i="3" s="1"/>
  <c r="E33" i="3"/>
  <c r="T9" i="5"/>
  <c r="S10" i="5"/>
  <c r="D37" i="6"/>
  <c r="D42" i="6" s="1"/>
  <c r="C42" i="6"/>
  <c r="C38" i="4"/>
  <c r="D33" i="4"/>
  <c r="D38" i="4" s="1"/>
  <c r="C38" i="2"/>
  <c r="D33" i="2"/>
  <c r="D38" i="2" s="1"/>
  <c r="E33" i="2"/>
  <c r="D38" i="5"/>
  <c r="C67" i="2"/>
  <c r="D34" i="3"/>
  <c r="E34" i="3" s="1"/>
  <c r="E63" i="4"/>
  <c r="D16" i="8"/>
  <c r="H25" i="8"/>
  <c r="E70" i="4"/>
  <c r="C65" i="5"/>
  <c r="E33" i="5"/>
  <c r="E34" i="4"/>
  <c r="C38" i="5"/>
  <c r="C57" i="5"/>
  <c r="E57" i="5" s="1"/>
  <c r="E73" i="2"/>
  <c r="D34" i="2"/>
  <c r="E34" i="2" s="1"/>
  <c r="C51" i="4"/>
  <c r="C71" i="4" s="1"/>
  <c r="C65" i="3"/>
  <c r="C89" i="2"/>
  <c r="E57" i="2"/>
  <c r="E54" i="3"/>
  <c r="E54" i="5"/>
  <c r="E74" i="6"/>
  <c r="D55" i="6"/>
  <c r="E55" i="6"/>
  <c r="E47" i="6"/>
  <c r="E61" i="6"/>
  <c r="E69" i="6" s="1"/>
  <c r="E77" i="6"/>
  <c r="C33" i="8"/>
  <c r="D23" i="8"/>
  <c r="E23" i="8"/>
  <c r="D27" i="8"/>
  <c r="D32" i="8" s="1"/>
  <c r="E27" i="8"/>
  <c r="E32" i="8" s="1"/>
  <c r="D58" i="7"/>
  <c r="E55" i="7"/>
  <c r="E58" i="7" s="1"/>
  <c r="C33" i="7"/>
  <c r="D51" i="7"/>
  <c r="E37" i="6" l="1"/>
  <c r="E38" i="4"/>
  <c r="E16" i="8"/>
  <c r="H27" i="8" s="1"/>
  <c r="H26" i="8"/>
  <c r="E42" i="6"/>
  <c r="D33" i="8"/>
  <c r="E67" i="2"/>
  <c r="D67" i="2"/>
  <c r="D87" i="2" s="1"/>
  <c r="O26" i="5"/>
  <c r="P26" i="5"/>
  <c r="J14" i="5"/>
  <c r="K21" i="5"/>
  <c r="K25" i="5"/>
  <c r="K26" i="5" s="1"/>
  <c r="E65" i="5"/>
  <c r="C71" i="5"/>
  <c r="E71" i="5" s="1"/>
  <c r="C71" i="3"/>
  <c r="E71" i="3" s="1"/>
  <c r="E65" i="3"/>
  <c r="I32" i="5"/>
  <c r="I37" i="5"/>
  <c r="E38" i="5"/>
  <c r="E33" i="4"/>
  <c r="D51" i="4"/>
  <c r="D71" i="4" s="1"/>
  <c r="E71" i="4" s="1"/>
  <c r="E51" i="4"/>
  <c r="C75" i="6"/>
  <c r="D75" i="6"/>
  <c r="E38" i="3"/>
  <c r="D89" i="2"/>
  <c r="E89" i="2"/>
  <c r="E38" i="2"/>
  <c r="C87" i="2"/>
  <c r="E51" i="7"/>
  <c r="D33" i="7"/>
  <c r="D38" i="7" s="1"/>
  <c r="J26" i="8" s="1"/>
  <c r="L26" i="8" s="1"/>
  <c r="C38" i="7"/>
  <c r="C59" i="7" s="1"/>
  <c r="J25" i="8" s="1"/>
  <c r="L25" i="8" s="1"/>
  <c r="E75" i="6" l="1"/>
  <c r="E87" i="2"/>
  <c r="E33" i="7"/>
  <c r="E38" i="7"/>
  <c r="J27" i="8" l="1"/>
</calcChain>
</file>

<file path=xl/sharedStrings.xml><?xml version="1.0" encoding="utf-8"?>
<sst xmlns="http://schemas.openxmlformats.org/spreadsheetml/2006/main" count="779" uniqueCount="215">
  <si>
    <t>Nr. | Denumirea capitolelor şi subcapitolelor de       |Valoare*2)|TVA|Valoare|</t>
  </si>
  <si>
    <t>|crt.| cheltuieli                                       |(fără TVA)|   |cu TVA |</t>
  </si>
  <si>
    <t>|    |                                                  |__________|___|_______|</t>
  </si>
  <si>
    <t>|    |                                                  |    lei   |lei|  lei  |</t>
  </si>
  <si>
    <t>|____|__________________________________________________|__________|___|_______|</t>
  </si>
  <si>
    <t>|  1 |                         2                        |     3    | 4 |   5   |</t>
  </si>
  <si>
    <t>| CAPITOLUL 1                                                                  |</t>
  </si>
  <si>
    <t>| Cheltuieli pentru obţinerea şi amenajarea terenului                          |</t>
  </si>
  <si>
    <t>|______________________________________________________________________________|</t>
  </si>
  <si>
    <t>|1.1 | Obţinerea terenului                              |          |   |       |</t>
  </si>
  <si>
    <t>|1.2 | Amenajarea terenului                             |          |   |       |</t>
  </si>
  <si>
    <t>|1.3 | Amenajări pentru protecţia mediului şi aducerea  |          |   |       |</t>
  </si>
  <si>
    <t>|    | terenului la starea iniţială                     |          |   |       |</t>
  </si>
  <si>
    <t>|1.4 | Cheltuieli pentru relocarea/protecţia            |          |   |       |</t>
  </si>
  <si>
    <t>|    | utilităţilor                                     |          |   |       |</t>
  </si>
  <si>
    <t>| Total capitol 1                                       |          |   |       |</t>
  </si>
  <si>
    <t>|_______________________________________________________|__________|___|_______|</t>
  </si>
  <si>
    <t>| CAPITOLUL 2                                                                  |</t>
  </si>
  <si>
    <t>| Cheltuieli pentru asigurarea utilităţilor necesare obiectivului de investiţii|</t>
  </si>
  <si>
    <t>| Total capitol 2                                       |          |   |       |</t>
  </si>
  <si>
    <t>| CAPITOLUL 3                                                                  |</t>
  </si>
  <si>
    <t>| Cheltuieli pentru proiectare şi asistenţă tehnică                            |</t>
  </si>
  <si>
    <t>|3.1 | Studii                                           |          |   |       |</t>
  </si>
  <si>
    <t>|    | 3.1.1. Studii de teren                           |          |   |       |</t>
  </si>
  <si>
    <t>|    |__________________________________________________|__________|___|_______|</t>
  </si>
  <si>
    <t>|    | 3.1.2. Raport privind impactul asupra mediului   |          |   |       |</t>
  </si>
  <si>
    <t>|    | 3.1.3. Alte studii specifice                     |          |   |       |</t>
  </si>
  <si>
    <t>|3.2 | Documentaţii-suport şi cheltuieli pentru         |          |   |       |</t>
  </si>
  <si>
    <t>|    | obţinerea de avize, acorduri şi autorizaţii      |          |   |       |</t>
  </si>
  <si>
    <t>|3.3 | Expertizare tehnică                              |          |   |       |</t>
  </si>
  <si>
    <t>|3.4 | Certificarea performanţei energetice şi auditul  |          |   |       |</t>
  </si>
  <si>
    <t>|    | energetic al clădirilor                          |          |   |       |</t>
  </si>
  <si>
    <t>|3.5 | Proiectare                                       |          |   |       |</t>
  </si>
  <si>
    <t>|    | 3.5.1. Temă de proiectare                        |          |   |       |</t>
  </si>
  <si>
    <t>|    | 3.5.2. Studiu de prefezabilitate                 |          |   |       |</t>
  </si>
  <si>
    <t>|    | 3.5.3. Studiu de fezabilitate/documentaţie de    |          |   |       |</t>
  </si>
  <si>
    <t>|    | avizare a lucrărilor de intervenţii şi deviz     |          |   |       |</t>
  </si>
  <si>
    <t>|    | general                                          |          |   |       |</t>
  </si>
  <si>
    <t>|    | 3.5.4. Documentaţiile tehnice necesare în vederea|          |   |       |</t>
  </si>
  <si>
    <t>|    | obţinerii avizelor/acordurilor/autorizaţiilor    |          |   |       |</t>
  </si>
  <si>
    <t>|    | 3.5.5. Verificarea tehnică de calitate a         |          |   |       |</t>
  </si>
  <si>
    <t>|    | proiectului tehnic şi a detaliilor de execuţie   |          |   |       |</t>
  </si>
  <si>
    <t>|    | 3.5.6. Proiect tehnic şi detalii de execuţie     |          |   |       |</t>
  </si>
  <si>
    <t>|3.6 | Organizarea procedurilor de achiziţie            |          |   |       |</t>
  </si>
  <si>
    <t>|3.7 | Consultanţă                                      |          |   |       |</t>
  </si>
  <si>
    <t>|    | 3.7.1. Managementul de proiect pentru obiectivul |          |   |       |</t>
  </si>
  <si>
    <t>|    | de investiţii                                    |          |   |       |</t>
  </si>
  <si>
    <t>|    | 3.7.2. Auditul financiar                         |          |   |       |</t>
  </si>
  <si>
    <t>|3.8 | Asistenţă tehnică                                |          |   |       |</t>
  </si>
  <si>
    <t>|    | 3.8.1. Asistenţă tehnică din partea              |          |   |       |</t>
  </si>
  <si>
    <t>|    | proiectantului                                   |          |   |       |</t>
  </si>
  <si>
    <t>|    | 3.8.1.1. pe perioada de execuţie a lucrărilor    |          |   |       |</t>
  </si>
  <si>
    <t>|    | 3.8.1.2. pentru participarea proiectantului la   |          |   |       |</t>
  </si>
  <si>
    <t>|    | fazele incluse în programul de control al        |          |   |       |</t>
  </si>
  <si>
    <t>|    | lucrărilor de execuţie, avizat de către          |          |   |       |</t>
  </si>
  <si>
    <t>|    | Inspectoratul de Stat în Construcţii             |          |   |       |</t>
  </si>
  <si>
    <t>|    | 3.8.2. Dirigenţie de şantier                     |          |   |       |</t>
  </si>
  <si>
    <t>| Total capitol 3                                       |          |   |       |</t>
  </si>
  <si>
    <t>| CAPITOLUL 4                                                                  |</t>
  </si>
  <si>
    <t>| Cheltuieli pentru investiţia de bază                                         |</t>
  </si>
  <si>
    <t>|4.1 | Construcţii şi instalaţii                        |          |   |       |</t>
  </si>
  <si>
    <t>|4.2 | Montaj utilaje, echipamente tehnologice şi       |          |   |       |</t>
  </si>
  <si>
    <t>|    | funcţionale                                      |          |   |       |</t>
  </si>
  <si>
    <t>|4.3 | Utilaje, echipamente tehnologice şi funcţionale  |          |   |       |</t>
  </si>
  <si>
    <t>|    | care necesită montaj                             |          |   |       |</t>
  </si>
  <si>
    <t>|4.4 | Utilaje, echipamente tehnologice şi funcţionale  |          |   |       |</t>
  </si>
  <si>
    <t>|    | care nu necesită montaj şi echipamente de        |          |   |       |</t>
  </si>
  <si>
    <t>|    | transport                                        |          |   |       |</t>
  </si>
  <si>
    <t>|4.5 | Dotări                                           |          |   |       |</t>
  </si>
  <si>
    <t>|4.6 | Active necorporale                               |          |   |       |</t>
  </si>
  <si>
    <t>| Total capitol 4                                       |          |   |       |</t>
  </si>
  <si>
    <t>| CAPITOLUL 5                                           |          |   |       |</t>
  </si>
  <si>
    <t>| Alte cheltuieli                                       |          |   |       |</t>
  </si>
  <si>
    <t>|5.1 | Organizare de şantier                            |          |   |       |</t>
  </si>
  <si>
    <t>|    | 5.1.1. Lucrări de construcţii şi instalaţii      |          |   |       |</t>
  </si>
  <si>
    <t>|    | aferente organizării de şantier                  |          |   |       |</t>
  </si>
  <si>
    <t>|    | 5.1.2. Cheltuieli conexe organizării şantierului |          |   |       |</t>
  </si>
  <si>
    <t>|5.2 | Comisioane, cote, taxe, costul creditului        |          |   |       |</t>
  </si>
  <si>
    <t>|    | 5.2.1. Comisioanele şi dobânzile aferente        |          |   |       |</t>
  </si>
  <si>
    <t>|    | creditului băncii finanţatoare                   |          |   |       |</t>
  </si>
  <si>
    <t>|    | 5.2.2. Cota aferentă ISC pentru controlul        |          |   |       |</t>
  </si>
  <si>
    <t>|    | calităţii lucrărilor de construcţii              |          |   |       |</t>
  </si>
  <si>
    <t>|    | 5.2.3. Cota aferentă ISC pentru controlul        |          |   |       |</t>
  </si>
  <si>
    <t>|    | statului în amenajarea teritoriului, urbanism şi |          |   |       |</t>
  </si>
  <si>
    <t>|    | pentru autorizarea lucrărilor de construcţii     |          |   |       |</t>
  </si>
  <si>
    <t>|    | 5.2.4. Cota aferentă Casei Sociale a             |          |   |       |</t>
  </si>
  <si>
    <t>|    | Constructorilor - CSC                            |          |   |       |</t>
  </si>
  <si>
    <t>|    | 5.2.5. Taxe pentru acorduri, avize conforme şi   |          |   |       |</t>
  </si>
  <si>
    <t>|    | autorizaţia de construire/desfiinţare            |          |   |       |</t>
  </si>
  <si>
    <t>|5.3 | Cheltuieli diverse şi neprevăzute                |          |   |       |</t>
  </si>
  <si>
    <t>|5.4 | Cheltuieli pentru informare şi publicitate       |          |   |       |</t>
  </si>
  <si>
    <t>| Total capitol 5                                       |          |   |       |</t>
  </si>
  <si>
    <t>| CAPITOLUL 6                                           |          |   |       |</t>
  </si>
  <si>
    <t>| Cheltuieli pentru probe tehnologice şi teste          |          |   |       |</t>
  </si>
  <si>
    <t>|6.1 | Pregătirea personalului de exploatare            |          |   |       |</t>
  </si>
  <si>
    <t>|6.2 | Probe tehnologice şi teste                       |          |   |       |</t>
  </si>
  <si>
    <t>| Total capitol 6                                       |          |   |       |</t>
  </si>
  <si>
    <t>| TOTAL GENERAL                                         |          |   |       |</t>
  </si>
  <si>
    <t>| din care:                                             |          |   |       |</t>
  </si>
  <si>
    <t>| C + M (1.2 + 1.3 + 1.4 + 2 + 4.1 + 4.2 + 5.1.1)       |          |   |       |</t>
  </si>
  <si>
    <t xml:space="preserve"> Denumirea capitolelor şi subcapitolelor de  cheltuieli      </t>
  </si>
  <si>
    <t>Nr.crt.</t>
  </si>
  <si>
    <t>TVA 
lei</t>
  </si>
  <si>
    <t>Valoare
cu TVA 
lei</t>
  </si>
  <si>
    <t>Valoare
fără TVA 
lei</t>
  </si>
  <si>
    <t xml:space="preserve">CAPITOLUL 1                                                              </t>
  </si>
  <si>
    <t xml:space="preserve">Cheltuieli pentru obţinerea şi amenajarea terenului                     </t>
  </si>
  <si>
    <t xml:space="preserve">Obţinerea terenului   </t>
  </si>
  <si>
    <t>1.1</t>
  </si>
  <si>
    <t>1.2</t>
  </si>
  <si>
    <t>1.3</t>
  </si>
  <si>
    <t>1.4</t>
  </si>
  <si>
    <t xml:space="preserve">Amenajarea terenului   </t>
  </si>
  <si>
    <t>Amenajări pentru protecţia mediului şi aducerea</t>
  </si>
  <si>
    <t xml:space="preserve"> Cheltuieli pentru relocarea/protecţia terenului la starea iniţială   </t>
  </si>
  <si>
    <t xml:space="preserve">Total capitol 1                                     </t>
  </si>
  <si>
    <t xml:space="preserve">CAPITOLUL 2                                                               </t>
  </si>
  <si>
    <t>Cheltuieli pentru asigurarea utilităţilor necesare obiectivului de investiţii</t>
  </si>
  <si>
    <t xml:space="preserve">Total capitol 2                                     </t>
  </si>
  <si>
    <t xml:space="preserve">CAPITOLUL 3                                                              </t>
  </si>
  <si>
    <t>3.1</t>
  </si>
  <si>
    <t xml:space="preserve">Studii                                          </t>
  </si>
  <si>
    <t xml:space="preserve">3.1.1. Studii de teren                         </t>
  </si>
  <si>
    <t xml:space="preserve">3.1.2. Raport privind impactul asupra mediului   </t>
  </si>
  <si>
    <t xml:space="preserve">Cheltuieli pentru proiectare şi asistenţă tehnică                      </t>
  </si>
  <si>
    <t xml:space="preserve">3.1.3. Alte studii specifice                  </t>
  </si>
  <si>
    <t xml:space="preserve">Documentaţii-suport şi cheltuieli pentru obţinerea de avize, acorduri şi autorizaţii </t>
  </si>
  <si>
    <t>3.2</t>
  </si>
  <si>
    <t>3.3</t>
  </si>
  <si>
    <t>3.4</t>
  </si>
  <si>
    <t>3.5</t>
  </si>
  <si>
    <t>Expertizare tehnică</t>
  </si>
  <si>
    <t xml:space="preserve">Certificarea performanţei energetice şi auditul energetic al clădirilor    </t>
  </si>
  <si>
    <t xml:space="preserve"> Proiectare   </t>
  </si>
  <si>
    <t xml:space="preserve">3.5.1. Temă de proiectare   </t>
  </si>
  <si>
    <t xml:space="preserve">3.5.2. Studiu de prefezabilitate  </t>
  </si>
  <si>
    <t xml:space="preserve">3.5.3. Studiu de fezabilitate/documentaţie de  avizare a lucrărilor de intervenţii şi deviz  general   </t>
  </si>
  <si>
    <t xml:space="preserve">3.5.4. Documentaţiile tehnice necesare în vederea obţinerii avizelor/acordurilor/autorizaţiilor  </t>
  </si>
  <si>
    <t xml:space="preserve"> 3.5.5. Verificarea tehnică de calitate a  proiectului tehnic şi a detaliilor de execuţie    </t>
  </si>
  <si>
    <t>3.5.6. Proiect tehnic şi detalii de execuţie</t>
  </si>
  <si>
    <t xml:space="preserve"> Organizarea procedurilor de achiziţie</t>
  </si>
  <si>
    <t>3.6</t>
  </si>
  <si>
    <t>3.7</t>
  </si>
  <si>
    <t>3.8</t>
  </si>
  <si>
    <t xml:space="preserve">Consultanţă </t>
  </si>
  <si>
    <t xml:space="preserve"> 3.7.1. Managementul de proiect pentru obiectivul  de investiţii   </t>
  </si>
  <si>
    <t xml:space="preserve">3.7.2. Auditul financiar  </t>
  </si>
  <si>
    <t xml:space="preserve"> Asistenţă tehnică  </t>
  </si>
  <si>
    <t xml:space="preserve">3.8.1.1. pe perioada de execuţie a lucrărilor  </t>
  </si>
  <si>
    <t xml:space="preserve">3.8.1.2. pentru participarea proiectantului la  fazele incluse în programul de control al   lucrărilor de execuţie, avizat de către   ISC  </t>
  </si>
  <si>
    <t xml:space="preserve"> 3.8.2. Dirigenţie de şantier  </t>
  </si>
  <si>
    <t xml:space="preserve"> Total capitol 3 </t>
  </si>
  <si>
    <t xml:space="preserve">CAPITOLUL 4  </t>
  </si>
  <si>
    <t xml:space="preserve"> Construcţii şi instalaţii                        </t>
  </si>
  <si>
    <t>4.1</t>
  </si>
  <si>
    <t xml:space="preserve"> Montaj utilaje, echipamente tehnologice şi funcţionale </t>
  </si>
  <si>
    <t>4.2</t>
  </si>
  <si>
    <t>4.3</t>
  </si>
  <si>
    <t xml:space="preserve">Utilaje, echipamente tehnologice şi funcţionale care necesită montaj </t>
  </si>
  <si>
    <t>4.4</t>
  </si>
  <si>
    <t xml:space="preserve"> Utilaje, echipamente tehnologice şi funcţionale care nu necesită montaj şi echipamente de transport </t>
  </si>
  <si>
    <t>4.5</t>
  </si>
  <si>
    <t>4.6</t>
  </si>
  <si>
    <t xml:space="preserve"> Dotări </t>
  </si>
  <si>
    <t xml:space="preserve">Active necorporale   </t>
  </si>
  <si>
    <t xml:space="preserve">Total capitol 4  </t>
  </si>
  <si>
    <t xml:space="preserve">CAPITOLUL 5 </t>
  </si>
  <si>
    <t xml:space="preserve">Alte cheltuieli   </t>
  </si>
  <si>
    <t xml:space="preserve"> Organizare de şantier  </t>
  </si>
  <si>
    <t>5.1</t>
  </si>
  <si>
    <t xml:space="preserve">5.1.1. Lucrări de construcţii şi instalaţii  aferente organizării de şantier    </t>
  </si>
  <si>
    <t xml:space="preserve">5.1.2. Cheltuieli conexe organizării şantierului </t>
  </si>
  <si>
    <t xml:space="preserve"> Comisioane, cote, taxe, costul creditului   </t>
  </si>
  <si>
    <t>5.2</t>
  </si>
  <si>
    <t xml:space="preserve"> 5.2.1. Comisioanele şi dobânzile aferente creditului băncii finanţatoare      </t>
  </si>
  <si>
    <t>5.3</t>
  </si>
  <si>
    <t>Cheltuieli pentru informare şi publicitate</t>
  </si>
  <si>
    <t>5.4</t>
  </si>
  <si>
    <t xml:space="preserve"> Total capitol 5                                 </t>
  </si>
  <si>
    <t xml:space="preserve">CAPITOLUL 6   </t>
  </si>
  <si>
    <t xml:space="preserve"> Cheltuieli pentru probe tehnologice şi teste   </t>
  </si>
  <si>
    <t xml:space="preserve"> Pregătirea personalului de exploatare  </t>
  </si>
  <si>
    <t>6.1</t>
  </si>
  <si>
    <t>6.2</t>
  </si>
  <si>
    <t xml:space="preserve"> Probe tehnologice şi teste   </t>
  </si>
  <si>
    <t xml:space="preserve">Total capitol 6 </t>
  </si>
  <si>
    <t xml:space="preserve"> TOTAL GENERAL </t>
  </si>
  <si>
    <t xml:space="preserve">din care:  </t>
  </si>
  <si>
    <t xml:space="preserve"> C + M (1.2 + 1.3 + 1.4 + 2 + 4.1 + 4.2 + 5.1.1) </t>
  </si>
  <si>
    <t xml:space="preserve">Cheltuieli pentru investiţia de bază     </t>
  </si>
  <si>
    <t xml:space="preserve">3.8.1. Asistenţă tehnică din partea proiectantului    </t>
  </si>
  <si>
    <t>4.5.1</t>
  </si>
  <si>
    <t>4.5.2</t>
  </si>
  <si>
    <t>4.5.3</t>
  </si>
  <si>
    <t>4.5.4</t>
  </si>
  <si>
    <t xml:space="preserve">5.2.2. Cota aferentă ISC pentru controlul calităţii lucrărilor de construcţii (0,5%) </t>
  </si>
  <si>
    <t>5.2.3. Cota aferentă ISC pentru controlul statului în amenajarea teritoriului, urbanism şi pentru autorizarea lucrărilor de construcţii (0,1%)</t>
  </si>
  <si>
    <t>5.2.4. Cota aferentă  CSC  (0,5%)</t>
  </si>
  <si>
    <t>5.2.5. Taxe pentru acorduri, avize conforme şi autorizaţia de construire/desfiinţare  (0,05%)</t>
  </si>
  <si>
    <t>Cheltuieli diverse şi neprevăzute  (20%)</t>
  </si>
  <si>
    <t>n</t>
  </si>
  <si>
    <t xml:space="preserve">                                                                                     </t>
  </si>
  <si>
    <t>Cheltuieli diverse şi neprevăzute  (11%)</t>
  </si>
  <si>
    <t>C1</t>
  </si>
  <si>
    <t>C2</t>
  </si>
  <si>
    <t>Cheltuieli eligibile pentru obiectivul de investiție  ”Eficientizare energetică și lucrări conexe la clădirea administrativă a Consiliului Județean Mureș”</t>
  </si>
  <si>
    <t>ANEXA 2</t>
  </si>
  <si>
    <t>Cheltuieli neeligibile pentru obiectivul de investiție  ”Eficientizare energetică și lucrări conexe la clădirea administrativă a Consiliului Județean Mureș”</t>
  </si>
  <si>
    <t>Întocmit: ing. Ene Gabriela, ing. Miklós Kinga</t>
  </si>
  <si>
    <t>Verificat: ing. Pătran Carmen Șef serviciu</t>
  </si>
  <si>
    <t>Verificat: ing. Márton Katalin Director executiv</t>
  </si>
  <si>
    <t>2 ex</t>
  </si>
  <si>
    <t>ANEXA 3</t>
  </si>
  <si>
    <t>Deviz General pentru obiectivul de investiție  ”Eficientizare energetică și lucrări conexe la clădirea administrativă a Consiliului Județean Mureș”</t>
  </si>
  <si>
    <t xml:space="preserve">Cheltuieli diverse şi neprevăzute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</si>
</sst>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left" wrapText="1"/>
    </xf>
    <xf numFmtId="4" fontId="0" fillId="5" borderId="1" xfId="0" applyNumberFormat="1" applyFill="1" applyBorder="1" applyAlignment="1">
      <alignment horizontal="center"/>
    </xf>
    <xf numFmtId="4" fontId="0" fillId="0" borderId="0" xfId="0" applyNumberFormat="1"/>
    <xf numFmtId="4" fontId="0" fillId="6" borderId="1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1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9" fontId="0" fillId="7" borderId="1" xfId="0" applyNumberFormat="1" applyFill="1" applyBorder="1" applyAlignment="1">
      <alignment horizontal="center" wrapText="1"/>
    </xf>
    <xf numFmtId="0" fontId="0" fillId="7" borderId="1" xfId="0" applyFill="1" applyBorder="1" applyAlignment="1">
      <alignment horizontal="left" wrapText="1"/>
    </xf>
    <xf numFmtId="4" fontId="2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Alignment="1">
      <alignment horizontal="left"/>
    </xf>
    <xf numFmtId="49" fontId="0" fillId="7" borderId="0" xfId="0" applyNumberFormat="1" applyFill="1" applyAlignment="1">
      <alignment horizontal="center"/>
    </xf>
    <xf numFmtId="0" fontId="0" fillId="7" borderId="1" xfId="0" applyFill="1" applyBorder="1" applyAlignment="1">
      <alignment horizontal="center"/>
    </xf>
    <xf numFmtId="49" fontId="1" fillId="4" borderId="2" xfId="0" applyNumberFormat="1" applyFont="1" applyFill="1" applyBorder="1" applyAlignment="1">
      <alignment wrapText="1"/>
    </xf>
    <xf numFmtId="0" fontId="1" fillId="4" borderId="3" xfId="0" applyFont="1" applyFill="1" applyBorder="1" applyAlignment="1"/>
    <xf numFmtId="49" fontId="0" fillId="0" borderId="2" xfId="0" applyNumberFormat="1" applyBorder="1" applyAlignment="1">
      <alignment wrapText="1"/>
    </xf>
    <xf numFmtId="0" fontId="0" fillId="0" borderId="3" xfId="0" applyBorder="1" applyAlignment="1"/>
    <xf numFmtId="49" fontId="0" fillId="6" borderId="2" xfId="0" applyNumberFormat="1" applyFill="1" applyBorder="1" applyAlignment="1">
      <alignment wrapText="1"/>
    </xf>
    <xf numFmtId="0" fontId="0" fillId="6" borderId="3" xfId="0" applyFill="1" applyBorder="1" applyAlignment="1"/>
    <xf numFmtId="49" fontId="1" fillId="3" borderId="2" xfId="0" applyNumberFormat="1" applyFont="1" applyFill="1" applyBorder="1" applyAlignment="1">
      <alignment wrapText="1"/>
    </xf>
    <xf numFmtId="0" fontId="1" fillId="3" borderId="3" xfId="0" applyFont="1" applyFill="1" applyBorder="1" applyAlignment="1"/>
    <xf numFmtId="0" fontId="0" fillId="0" borderId="4" xfId="0" applyBorder="1" applyAlignment="1"/>
    <xf numFmtId="0" fontId="1" fillId="3" borderId="1" xfId="0" applyFont="1" applyFill="1" applyBorder="1" applyAlignment="1"/>
    <xf numFmtId="0" fontId="0" fillId="0" borderId="2" xfId="0" applyBorder="1" applyAlignment="1"/>
    <xf numFmtId="49" fontId="0" fillId="0" borderId="2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4" xfId="0" applyFont="1" applyFill="1" applyBorder="1" applyAlignment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1" fillId="3" borderId="3" xfId="0" applyNumberFormat="1" applyFont="1" applyFill="1" applyBorder="1" applyAlignment="1">
      <alignment wrapText="1"/>
    </xf>
    <xf numFmtId="49" fontId="0" fillId="0" borderId="4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6" borderId="3" xfId="0" applyNumberFormat="1" applyFill="1" applyBorder="1" applyAlignment="1">
      <alignment wrapText="1"/>
    </xf>
    <xf numFmtId="0" fontId="1" fillId="3" borderId="2" xfId="0" applyFont="1" applyFill="1" applyBorder="1" applyAlignment="1"/>
    <xf numFmtId="49" fontId="1" fillId="4" borderId="3" xfId="0" applyNumberFormat="1" applyFont="1" applyFill="1" applyBorder="1" applyAlignment="1">
      <alignment wrapText="1"/>
    </xf>
    <xf numFmtId="0" fontId="0" fillId="0" borderId="0" xfId="0" applyNumberFormat="1" applyAlignment="1">
      <alignment horizontal="center" wrapText="1"/>
    </xf>
    <xf numFmtId="49" fontId="0" fillId="7" borderId="2" xfId="0" applyNumberFormat="1" applyFill="1" applyBorder="1" applyAlignment="1">
      <alignment wrapText="1"/>
    </xf>
    <xf numFmtId="49" fontId="0" fillId="7" borderId="4" xfId="0" applyNumberFormat="1" applyFill="1" applyBorder="1" applyAlignment="1">
      <alignment wrapText="1"/>
    </xf>
    <xf numFmtId="49" fontId="0" fillId="7" borderId="3" xfId="0" applyNumberFormat="1" applyFill="1" applyBorder="1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8"/>
  <sheetViews>
    <sheetView topLeftCell="A136" workbookViewId="0">
      <selection activeCell="A157" sqref="A15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4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4</v>
      </c>
    </row>
    <row r="13" spans="1:1" x14ac:dyDescent="0.25">
      <c r="A13" t="s">
        <v>10</v>
      </c>
    </row>
    <row r="14" spans="1:1" x14ac:dyDescent="0.25">
      <c r="A14" t="s">
        <v>4</v>
      </c>
    </row>
    <row r="15" spans="1:1" x14ac:dyDescent="0.25">
      <c r="A15" t="s">
        <v>11</v>
      </c>
    </row>
    <row r="16" spans="1:1" x14ac:dyDescent="0.25">
      <c r="A16" t="s">
        <v>12</v>
      </c>
    </row>
    <row r="17" spans="1:1" x14ac:dyDescent="0.25">
      <c r="A17" t="s">
        <v>4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4</v>
      </c>
    </row>
    <row r="21" spans="1:1" x14ac:dyDescent="0.25">
      <c r="A21" t="s">
        <v>15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18</v>
      </c>
    </row>
    <row r="25" spans="1:1" x14ac:dyDescent="0.25">
      <c r="A25" t="s">
        <v>8</v>
      </c>
    </row>
    <row r="26" spans="1:1" x14ac:dyDescent="0.25">
      <c r="A26" t="s">
        <v>19</v>
      </c>
    </row>
    <row r="27" spans="1:1" x14ac:dyDescent="0.25">
      <c r="A27" t="s">
        <v>16</v>
      </c>
    </row>
    <row r="28" spans="1:1" x14ac:dyDescent="0.25">
      <c r="A28" t="s">
        <v>20</v>
      </c>
    </row>
    <row r="29" spans="1:1" x14ac:dyDescent="0.25">
      <c r="A29" t="s">
        <v>21</v>
      </c>
    </row>
    <row r="30" spans="1:1" x14ac:dyDescent="0.25">
      <c r="A30" t="s">
        <v>8</v>
      </c>
    </row>
    <row r="31" spans="1:1" x14ac:dyDescent="0.25">
      <c r="A31" t="s">
        <v>22</v>
      </c>
    </row>
    <row r="32" spans="1:1" x14ac:dyDescent="0.25">
      <c r="A32" t="s">
        <v>4</v>
      </c>
    </row>
    <row r="33" spans="1:1" x14ac:dyDescent="0.25">
      <c r="A33" t="s">
        <v>23</v>
      </c>
    </row>
    <row r="34" spans="1:1" x14ac:dyDescent="0.25">
      <c r="A34" t="s">
        <v>24</v>
      </c>
    </row>
    <row r="35" spans="1:1" x14ac:dyDescent="0.25">
      <c r="A35" t="s">
        <v>25</v>
      </c>
    </row>
    <row r="36" spans="1:1" x14ac:dyDescent="0.25">
      <c r="A36" t="s">
        <v>24</v>
      </c>
    </row>
    <row r="37" spans="1:1" x14ac:dyDescent="0.25">
      <c r="A37" t="s">
        <v>26</v>
      </c>
    </row>
    <row r="38" spans="1:1" x14ac:dyDescent="0.25">
      <c r="A38" t="s">
        <v>4</v>
      </c>
    </row>
    <row r="39" spans="1:1" x14ac:dyDescent="0.25">
      <c r="A39" t="s">
        <v>27</v>
      </c>
    </row>
    <row r="40" spans="1:1" x14ac:dyDescent="0.25">
      <c r="A40" t="s">
        <v>28</v>
      </c>
    </row>
    <row r="41" spans="1:1" x14ac:dyDescent="0.25">
      <c r="A41" t="s">
        <v>4</v>
      </c>
    </row>
    <row r="42" spans="1:1" x14ac:dyDescent="0.25">
      <c r="A42" t="s">
        <v>29</v>
      </c>
    </row>
    <row r="43" spans="1:1" x14ac:dyDescent="0.25">
      <c r="A43" t="s">
        <v>4</v>
      </c>
    </row>
    <row r="44" spans="1:1" x14ac:dyDescent="0.25">
      <c r="A44" t="s">
        <v>30</v>
      </c>
    </row>
    <row r="45" spans="1:1" x14ac:dyDescent="0.25">
      <c r="A45" t="s">
        <v>31</v>
      </c>
    </row>
    <row r="46" spans="1:1" x14ac:dyDescent="0.25">
      <c r="A46" t="s">
        <v>4</v>
      </c>
    </row>
    <row r="47" spans="1:1" x14ac:dyDescent="0.25">
      <c r="A47" t="s">
        <v>32</v>
      </c>
    </row>
    <row r="48" spans="1:1" x14ac:dyDescent="0.25">
      <c r="A48" t="s">
        <v>4</v>
      </c>
    </row>
    <row r="49" spans="1:1" x14ac:dyDescent="0.25">
      <c r="A49" t="s">
        <v>33</v>
      </c>
    </row>
    <row r="50" spans="1:1" x14ac:dyDescent="0.25">
      <c r="A50" t="s">
        <v>24</v>
      </c>
    </row>
    <row r="51" spans="1:1" x14ac:dyDescent="0.25">
      <c r="A51" t="s">
        <v>34</v>
      </c>
    </row>
    <row r="52" spans="1:1" x14ac:dyDescent="0.25">
      <c r="A52" t="s">
        <v>24</v>
      </c>
    </row>
    <row r="53" spans="1:1" x14ac:dyDescent="0.25">
      <c r="A53" t="s">
        <v>35</v>
      </c>
    </row>
    <row r="54" spans="1:1" x14ac:dyDescent="0.25">
      <c r="A54" t="s">
        <v>36</v>
      </c>
    </row>
    <row r="55" spans="1:1" x14ac:dyDescent="0.25">
      <c r="A55" t="s">
        <v>37</v>
      </c>
    </row>
    <row r="56" spans="1:1" x14ac:dyDescent="0.25">
      <c r="A56" t="s">
        <v>24</v>
      </c>
    </row>
    <row r="57" spans="1:1" x14ac:dyDescent="0.25">
      <c r="A57" t="s">
        <v>38</v>
      </c>
    </row>
    <row r="58" spans="1:1" x14ac:dyDescent="0.25">
      <c r="A58" t="s">
        <v>39</v>
      </c>
    </row>
    <row r="59" spans="1:1" x14ac:dyDescent="0.25">
      <c r="A59" t="s">
        <v>24</v>
      </c>
    </row>
    <row r="60" spans="1:1" x14ac:dyDescent="0.25">
      <c r="A60" t="s">
        <v>40</v>
      </c>
    </row>
    <row r="61" spans="1:1" x14ac:dyDescent="0.25">
      <c r="A61" t="s">
        <v>41</v>
      </c>
    </row>
    <row r="62" spans="1:1" x14ac:dyDescent="0.25">
      <c r="A62" t="s">
        <v>24</v>
      </c>
    </row>
    <row r="63" spans="1:1" x14ac:dyDescent="0.25">
      <c r="A63" t="s">
        <v>42</v>
      </c>
    </row>
    <row r="64" spans="1:1" x14ac:dyDescent="0.25">
      <c r="A64" t="s">
        <v>4</v>
      </c>
    </row>
    <row r="65" spans="1:1" x14ac:dyDescent="0.25">
      <c r="A65" t="s">
        <v>43</v>
      </c>
    </row>
    <row r="66" spans="1:1" x14ac:dyDescent="0.25">
      <c r="A66" t="s">
        <v>4</v>
      </c>
    </row>
    <row r="67" spans="1:1" x14ac:dyDescent="0.25">
      <c r="A67" t="s">
        <v>44</v>
      </c>
    </row>
    <row r="68" spans="1:1" x14ac:dyDescent="0.25">
      <c r="A68" t="s">
        <v>4</v>
      </c>
    </row>
    <row r="69" spans="1:1" x14ac:dyDescent="0.25">
      <c r="A69" t="s">
        <v>45</v>
      </c>
    </row>
    <row r="70" spans="1:1" x14ac:dyDescent="0.25">
      <c r="A70" t="s">
        <v>46</v>
      </c>
    </row>
    <row r="71" spans="1:1" x14ac:dyDescent="0.25">
      <c r="A71" t="s">
        <v>24</v>
      </c>
    </row>
    <row r="72" spans="1:1" x14ac:dyDescent="0.25">
      <c r="A72" t="s">
        <v>47</v>
      </c>
    </row>
    <row r="73" spans="1:1" x14ac:dyDescent="0.25">
      <c r="A73" t="s">
        <v>4</v>
      </c>
    </row>
    <row r="74" spans="1:1" x14ac:dyDescent="0.25">
      <c r="A74" t="s">
        <v>48</v>
      </c>
    </row>
    <row r="75" spans="1:1" x14ac:dyDescent="0.25">
      <c r="A75" t="s">
        <v>4</v>
      </c>
    </row>
    <row r="76" spans="1:1" x14ac:dyDescent="0.25">
      <c r="A76" t="s">
        <v>49</v>
      </c>
    </row>
    <row r="77" spans="1:1" x14ac:dyDescent="0.25">
      <c r="A77" t="s">
        <v>50</v>
      </c>
    </row>
    <row r="78" spans="1:1" x14ac:dyDescent="0.25">
      <c r="A78" t="s">
        <v>24</v>
      </c>
    </row>
    <row r="79" spans="1:1" x14ac:dyDescent="0.25">
      <c r="A79" t="s">
        <v>51</v>
      </c>
    </row>
    <row r="80" spans="1:1" x14ac:dyDescent="0.25">
      <c r="A80" t="s">
        <v>24</v>
      </c>
    </row>
    <row r="81" spans="1:1" x14ac:dyDescent="0.25">
      <c r="A81" t="s">
        <v>52</v>
      </c>
    </row>
    <row r="82" spans="1:1" x14ac:dyDescent="0.25">
      <c r="A82" t="s">
        <v>53</v>
      </c>
    </row>
    <row r="83" spans="1:1" x14ac:dyDescent="0.25">
      <c r="A83" t="s">
        <v>54</v>
      </c>
    </row>
    <row r="84" spans="1:1" x14ac:dyDescent="0.25">
      <c r="A84" t="s">
        <v>55</v>
      </c>
    </row>
    <row r="85" spans="1:1" x14ac:dyDescent="0.25">
      <c r="A85" t="s">
        <v>24</v>
      </c>
    </row>
    <row r="86" spans="1:1" x14ac:dyDescent="0.25">
      <c r="A86" t="s">
        <v>56</v>
      </c>
    </row>
    <row r="87" spans="1:1" x14ac:dyDescent="0.25">
      <c r="A87" t="s">
        <v>4</v>
      </c>
    </row>
    <row r="88" spans="1:1" x14ac:dyDescent="0.25">
      <c r="A88" t="s">
        <v>57</v>
      </c>
    </row>
    <row r="89" spans="1:1" x14ac:dyDescent="0.25">
      <c r="A89" t="s">
        <v>16</v>
      </c>
    </row>
    <row r="90" spans="1:1" x14ac:dyDescent="0.25">
      <c r="A90" t="s">
        <v>58</v>
      </c>
    </row>
    <row r="91" spans="1:1" x14ac:dyDescent="0.25">
      <c r="A91" t="s">
        <v>59</v>
      </c>
    </row>
    <row r="92" spans="1:1" x14ac:dyDescent="0.25">
      <c r="A92" t="s">
        <v>8</v>
      </c>
    </row>
    <row r="93" spans="1:1" x14ac:dyDescent="0.25">
      <c r="A93" t="s">
        <v>60</v>
      </c>
    </row>
    <row r="94" spans="1:1" x14ac:dyDescent="0.25">
      <c r="A94" t="s">
        <v>4</v>
      </c>
    </row>
    <row r="95" spans="1:1" x14ac:dyDescent="0.25">
      <c r="A95" t="s">
        <v>61</v>
      </c>
    </row>
    <row r="96" spans="1:1" x14ac:dyDescent="0.25">
      <c r="A96" t="s">
        <v>62</v>
      </c>
    </row>
    <row r="97" spans="1:1" x14ac:dyDescent="0.25">
      <c r="A97" t="s">
        <v>4</v>
      </c>
    </row>
    <row r="98" spans="1:1" x14ac:dyDescent="0.25">
      <c r="A98" t="s">
        <v>63</v>
      </c>
    </row>
    <row r="99" spans="1:1" x14ac:dyDescent="0.25">
      <c r="A99" t="s">
        <v>64</v>
      </c>
    </row>
    <row r="100" spans="1:1" x14ac:dyDescent="0.25">
      <c r="A100" t="s">
        <v>4</v>
      </c>
    </row>
    <row r="101" spans="1:1" x14ac:dyDescent="0.25">
      <c r="A101" t="s">
        <v>65</v>
      </c>
    </row>
    <row r="102" spans="1:1" x14ac:dyDescent="0.25">
      <c r="A102" t="s">
        <v>66</v>
      </c>
    </row>
    <row r="103" spans="1:1" x14ac:dyDescent="0.25">
      <c r="A103" t="s">
        <v>67</v>
      </c>
    </row>
    <row r="104" spans="1:1" x14ac:dyDescent="0.25">
      <c r="A104" t="s">
        <v>4</v>
      </c>
    </row>
    <row r="105" spans="1:1" x14ac:dyDescent="0.25">
      <c r="A105" t="s">
        <v>68</v>
      </c>
    </row>
    <row r="106" spans="1:1" x14ac:dyDescent="0.25">
      <c r="A106" t="s">
        <v>4</v>
      </c>
    </row>
    <row r="107" spans="1:1" x14ac:dyDescent="0.25">
      <c r="A107" t="s">
        <v>69</v>
      </c>
    </row>
    <row r="108" spans="1:1" x14ac:dyDescent="0.25">
      <c r="A108" t="s">
        <v>4</v>
      </c>
    </row>
    <row r="109" spans="1:1" x14ac:dyDescent="0.25">
      <c r="A109" t="s">
        <v>70</v>
      </c>
    </row>
    <row r="110" spans="1:1" x14ac:dyDescent="0.25">
      <c r="A110" t="s">
        <v>16</v>
      </c>
    </row>
    <row r="111" spans="1:1" x14ac:dyDescent="0.25">
      <c r="A111" t="s">
        <v>71</v>
      </c>
    </row>
    <row r="112" spans="1:1" x14ac:dyDescent="0.25">
      <c r="A112" t="s">
        <v>72</v>
      </c>
    </row>
    <row r="113" spans="1:1" x14ac:dyDescent="0.25">
      <c r="A113" t="s">
        <v>16</v>
      </c>
    </row>
    <row r="114" spans="1:1" x14ac:dyDescent="0.25">
      <c r="A114" t="s">
        <v>73</v>
      </c>
    </row>
    <row r="115" spans="1:1" x14ac:dyDescent="0.25">
      <c r="A115" t="s">
        <v>4</v>
      </c>
    </row>
    <row r="116" spans="1:1" x14ac:dyDescent="0.25">
      <c r="A116" t="s">
        <v>74</v>
      </c>
    </row>
    <row r="117" spans="1:1" x14ac:dyDescent="0.25">
      <c r="A117" t="s">
        <v>75</v>
      </c>
    </row>
    <row r="118" spans="1:1" x14ac:dyDescent="0.25">
      <c r="A118" t="s">
        <v>24</v>
      </c>
    </row>
    <row r="119" spans="1:1" x14ac:dyDescent="0.25">
      <c r="A119" t="s">
        <v>76</v>
      </c>
    </row>
    <row r="120" spans="1:1" x14ac:dyDescent="0.25">
      <c r="A120" t="s">
        <v>4</v>
      </c>
    </row>
    <row r="121" spans="1:1" x14ac:dyDescent="0.25">
      <c r="A121" t="s">
        <v>77</v>
      </c>
    </row>
    <row r="122" spans="1:1" x14ac:dyDescent="0.25">
      <c r="A122" t="s">
        <v>4</v>
      </c>
    </row>
    <row r="123" spans="1:1" x14ac:dyDescent="0.25">
      <c r="A123" t="s">
        <v>78</v>
      </c>
    </row>
    <row r="124" spans="1:1" x14ac:dyDescent="0.25">
      <c r="A124" t="s">
        <v>79</v>
      </c>
    </row>
    <row r="125" spans="1:1" x14ac:dyDescent="0.25">
      <c r="A125" t="s">
        <v>24</v>
      </c>
    </row>
    <row r="126" spans="1:1" x14ac:dyDescent="0.25">
      <c r="A126" t="s">
        <v>80</v>
      </c>
    </row>
    <row r="127" spans="1:1" x14ac:dyDescent="0.25">
      <c r="A127" t="s">
        <v>81</v>
      </c>
    </row>
    <row r="128" spans="1:1" x14ac:dyDescent="0.25">
      <c r="A128" t="s">
        <v>24</v>
      </c>
    </row>
    <row r="129" spans="1:1" x14ac:dyDescent="0.25">
      <c r="A129" t="s">
        <v>82</v>
      </c>
    </row>
    <row r="130" spans="1:1" x14ac:dyDescent="0.25">
      <c r="A130" t="s">
        <v>83</v>
      </c>
    </row>
    <row r="131" spans="1:1" x14ac:dyDescent="0.25">
      <c r="A131" t="s">
        <v>84</v>
      </c>
    </row>
    <row r="132" spans="1:1" x14ac:dyDescent="0.25">
      <c r="A132" t="s">
        <v>24</v>
      </c>
    </row>
    <row r="133" spans="1:1" x14ac:dyDescent="0.25">
      <c r="A133" t="s">
        <v>85</v>
      </c>
    </row>
    <row r="134" spans="1:1" x14ac:dyDescent="0.25">
      <c r="A134" t="s">
        <v>86</v>
      </c>
    </row>
    <row r="135" spans="1:1" x14ac:dyDescent="0.25">
      <c r="A135" t="s">
        <v>24</v>
      </c>
    </row>
    <row r="136" spans="1:1" x14ac:dyDescent="0.25">
      <c r="A136" t="s">
        <v>87</v>
      </c>
    </row>
    <row r="137" spans="1:1" x14ac:dyDescent="0.25">
      <c r="A137" t="s">
        <v>88</v>
      </c>
    </row>
    <row r="138" spans="1:1" x14ac:dyDescent="0.25">
      <c r="A138" t="s">
        <v>4</v>
      </c>
    </row>
    <row r="139" spans="1:1" x14ac:dyDescent="0.25">
      <c r="A139" t="s">
        <v>89</v>
      </c>
    </row>
    <row r="140" spans="1:1" x14ac:dyDescent="0.25">
      <c r="A140" t="s">
        <v>4</v>
      </c>
    </row>
    <row r="141" spans="1:1" x14ac:dyDescent="0.25">
      <c r="A141" t="s">
        <v>90</v>
      </c>
    </row>
    <row r="142" spans="1:1" x14ac:dyDescent="0.25">
      <c r="A142" t="s">
        <v>4</v>
      </c>
    </row>
    <row r="143" spans="1:1" x14ac:dyDescent="0.25">
      <c r="A143" t="s">
        <v>91</v>
      </c>
    </row>
    <row r="144" spans="1:1" x14ac:dyDescent="0.25">
      <c r="A144" t="s">
        <v>16</v>
      </c>
    </row>
    <row r="145" spans="1:1" x14ac:dyDescent="0.25">
      <c r="A145" t="s">
        <v>92</v>
      </c>
    </row>
    <row r="146" spans="1:1" x14ac:dyDescent="0.25">
      <c r="A146" t="s">
        <v>93</v>
      </c>
    </row>
    <row r="147" spans="1:1" x14ac:dyDescent="0.25">
      <c r="A147" t="s">
        <v>16</v>
      </c>
    </row>
    <row r="148" spans="1:1" x14ac:dyDescent="0.25">
      <c r="A148" t="s">
        <v>94</v>
      </c>
    </row>
    <row r="149" spans="1:1" x14ac:dyDescent="0.25">
      <c r="A149" t="s">
        <v>4</v>
      </c>
    </row>
    <row r="150" spans="1:1" x14ac:dyDescent="0.25">
      <c r="A150" t="s">
        <v>95</v>
      </c>
    </row>
    <row r="151" spans="1:1" x14ac:dyDescent="0.25">
      <c r="A151" t="s">
        <v>4</v>
      </c>
    </row>
    <row r="152" spans="1:1" x14ac:dyDescent="0.25">
      <c r="A152" t="s">
        <v>96</v>
      </c>
    </row>
    <row r="153" spans="1:1" x14ac:dyDescent="0.25">
      <c r="A153" t="s">
        <v>16</v>
      </c>
    </row>
    <row r="154" spans="1:1" x14ac:dyDescent="0.25">
      <c r="A154" t="s">
        <v>97</v>
      </c>
    </row>
    <row r="155" spans="1:1" x14ac:dyDescent="0.25">
      <c r="A155" t="s">
        <v>16</v>
      </c>
    </row>
    <row r="156" spans="1:1" x14ac:dyDescent="0.25">
      <c r="A156" t="s">
        <v>98</v>
      </c>
    </row>
    <row r="157" spans="1:1" x14ac:dyDescent="0.25">
      <c r="A157" t="s">
        <v>99</v>
      </c>
    </row>
    <row r="158" spans="1:1" x14ac:dyDescent="0.25">
      <c r="A158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72" workbookViewId="0">
      <selection activeCell="A72" sqref="A1:IV65536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2.710937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</cols>
  <sheetData>
    <row r="1" spans="1:5" ht="45.75" customHeight="1" x14ac:dyDescent="0.25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 x14ac:dyDescent="0.2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 x14ac:dyDescent="0.25">
      <c r="A3" s="2" t="s">
        <v>105</v>
      </c>
      <c r="B3" s="6"/>
      <c r="C3" s="16"/>
      <c r="D3" s="16"/>
      <c r="E3" s="16"/>
    </row>
    <row r="4" spans="1:5" x14ac:dyDescent="0.25">
      <c r="A4" s="8" t="s">
        <v>106</v>
      </c>
      <c r="B4" s="9"/>
      <c r="C4" s="16"/>
      <c r="D4" s="16"/>
      <c r="E4" s="16"/>
    </row>
    <row r="5" spans="1:5" x14ac:dyDescent="0.25">
      <c r="A5" s="3" t="s">
        <v>108</v>
      </c>
      <c r="B5" s="6" t="s">
        <v>107</v>
      </c>
      <c r="C5" s="16">
        <v>0</v>
      </c>
      <c r="D5" s="16"/>
      <c r="E5" s="16"/>
    </row>
    <row r="6" spans="1:5" x14ac:dyDescent="0.2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 x14ac:dyDescent="0.25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 x14ac:dyDescent="0.25">
      <c r="A8" s="1" t="s">
        <v>111</v>
      </c>
      <c r="B8" s="5" t="s">
        <v>114</v>
      </c>
      <c r="C8" s="16">
        <v>96500</v>
      </c>
      <c r="D8" s="16"/>
      <c r="E8" s="16"/>
    </row>
    <row r="9" spans="1:5" x14ac:dyDescent="0.25">
      <c r="A9" s="63" t="s">
        <v>115</v>
      </c>
      <c r="B9" s="56"/>
      <c r="C9" s="17">
        <f>SUM(C5:C8)</f>
        <v>96500</v>
      </c>
      <c r="D9" s="17">
        <f>C9*0.19</f>
        <v>18335</v>
      </c>
      <c r="E9" s="17">
        <f>C9+D9</f>
        <v>114835</v>
      </c>
    </row>
    <row r="10" spans="1:5" x14ac:dyDescent="0.25">
      <c r="A10" s="51" t="s">
        <v>116</v>
      </c>
      <c r="B10" s="57"/>
      <c r="C10" s="57"/>
      <c r="D10" s="57"/>
      <c r="E10" s="52"/>
    </row>
    <row r="11" spans="1:5" x14ac:dyDescent="0.25">
      <c r="A11" s="51" t="s">
        <v>117</v>
      </c>
      <c r="B11" s="57"/>
      <c r="C11" s="57"/>
      <c r="D11" s="57"/>
      <c r="E11" s="52"/>
    </row>
    <row r="12" spans="1:5" x14ac:dyDescent="0.25">
      <c r="A12" s="63" t="s">
        <v>118</v>
      </c>
      <c r="B12" s="56"/>
      <c r="C12" s="17">
        <v>0</v>
      </c>
      <c r="D12" s="17">
        <f>C12*0.19</f>
        <v>0</v>
      </c>
      <c r="E12" s="17">
        <f>C12+D12</f>
        <v>0</v>
      </c>
    </row>
    <row r="13" spans="1:5" x14ac:dyDescent="0.25">
      <c r="A13" s="51" t="s">
        <v>119</v>
      </c>
      <c r="B13" s="57"/>
      <c r="C13" s="57"/>
      <c r="D13" s="57"/>
      <c r="E13" s="52"/>
    </row>
    <row r="14" spans="1:5" x14ac:dyDescent="0.25">
      <c r="A14" s="51" t="s">
        <v>124</v>
      </c>
      <c r="B14" s="57"/>
      <c r="C14" s="57"/>
      <c r="D14" s="57"/>
      <c r="E14" s="52"/>
    </row>
    <row r="15" spans="1:5" x14ac:dyDescent="0.25">
      <c r="A15" s="1" t="s">
        <v>120</v>
      </c>
      <c r="B15" s="10" t="s">
        <v>121</v>
      </c>
      <c r="C15" s="18">
        <v>11970</v>
      </c>
      <c r="D15" s="18">
        <f t="shared" ref="D15:D23" si="0">C15*0.19</f>
        <v>2274.3000000000002</v>
      </c>
      <c r="E15" s="18">
        <f>C15+D15</f>
        <v>14244.3</v>
      </c>
    </row>
    <row r="16" spans="1:5" x14ac:dyDescent="0.25">
      <c r="A16" s="1"/>
      <c r="B16" s="9" t="s">
        <v>122</v>
      </c>
      <c r="C16" s="16">
        <v>8550</v>
      </c>
      <c r="D16" s="16">
        <f t="shared" si="0"/>
        <v>1624.5</v>
      </c>
      <c r="E16" s="16">
        <f t="shared" ref="E16:E21" si="1">D16+C16</f>
        <v>10174.5</v>
      </c>
    </row>
    <row r="17" spans="1:5" x14ac:dyDescent="0.25">
      <c r="A17" s="1"/>
      <c r="B17" s="9" t="s">
        <v>123</v>
      </c>
      <c r="C17" s="16">
        <v>3420</v>
      </c>
      <c r="D17" s="16">
        <f t="shared" si="0"/>
        <v>649.79999999999995</v>
      </c>
      <c r="E17" s="16">
        <f t="shared" si="1"/>
        <v>4069.8</v>
      </c>
    </row>
    <row r="18" spans="1:5" x14ac:dyDescent="0.2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 x14ac:dyDescent="0.25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 x14ac:dyDescent="0.25">
      <c r="A20" s="1" t="s">
        <v>128</v>
      </c>
      <c r="B20" s="13" t="s">
        <v>131</v>
      </c>
      <c r="C20" s="18">
        <v>17100</v>
      </c>
      <c r="D20" s="18">
        <f t="shared" si="0"/>
        <v>3249</v>
      </c>
      <c r="E20" s="18">
        <f t="shared" si="1"/>
        <v>20349</v>
      </c>
    </row>
    <row r="21" spans="1:5" ht="30" x14ac:dyDescent="0.25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 x14ac:dyDescent="0.25">
      <c r="A22" s="1" t="s">
        <v>130</v>
      </c>
      <c r="B22" s="10" t="s">
        <v>133</v>
      </c>
      <c r="C22" s="18">
        <v>82080</v>
      </c>
      <c r="D22" s="18">
        <f>C22*0.19</f>
        <v>15595.2</v>
      </c>
      <c r="E22" s="18">
        <f>D22+C22</f>
        <v>97675.199999999997</v>
      </c>
    </row>
    <row r="23" spans="1:5" x14ac:dyDescent="0.2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 x14ac:dyDescent="0.25">
      <c r="A24" s="1"/>
      <c r="B24" s="9" t="s">
        <v>135</v>
      </c>
      <c r="C24" s="16">
        <v>0</v>
      </c>
      <c r="D24" s="16">
        <f t="shared" ref="D24:D30" si="2">C24*0.19</f>
        <v>0</v>
      </c>
      <c r="E24" s="16">
        <f t="shared" ref="E24:E30" si="3">D24+C24</f>
        <v>0</v>
      </c>
    </row>
    <row r="25" spans="1:5" ht="30" x14ac:dyDescent="0.25">
      <c r="A25" s="1"/>
      <c r="B25" s="11" t="s">
        <v>136</v>
      </c>
      <c r="C25" s="16">
        <v>0</v>
      </c>
      <c r="D25" s="16">
        <f t="shared" si="2"/>
        <v>0</v>
      </c>
      <c r="E25" s="16">
        <f t="shared" si="3"/>
        <v>0</v>
      </c>
    </row>
    <row r="26" spans="1:5" ht="45" x14ac:dyDescent="0.25">
      <c r="A26" s="1"/>
      <c r="B26" s="11" t="s">
        <v>137</v>
      </c>
      <c r="C26" s="16">
        <v>0</v>
      </c>
      <c r="D26" s="16">
        <f t="shared" si="2"/>
        <v>0</v>
      </c>
      <c r="E26" s="16">
        <f t="shared" si="3"/>
        <v>0</v>
      </c>
    </row>
    <row r="27" spans="1:5" ht="30" x14ac:dyDescent="0.25">
      <c r="A27" s="1"/>
      <c r="B27" s="11" t="s">
        <v>138</v>
      </c>
      <c r="C27" s="16">
        <v>0</v>
      </c>
      <c r="D27" s="16">
        <v>900</v>
      </c>
      <c r="E27" s="16">
        <f t="shared" si="3"/>
        <v>900</v>
      </c>
    </row>
    <row r="28" spans="1:5" x14ac:dyDescent="0.25">
      <c r="A28" s="1"/>
      <c r="B28" s="9" t="s">
        <v>139</v>
      </c>
      <c r="C28" s="16">
        <v>82080</v>
      </c>
      <c r="D28" s="16">
        <f t="shared" si="2"/>
        <v>15595.2</v>
      </c>
      <c r="E28" s="16">
        <f t="shared" si="3"/>
        <v>97675.199999999997</v>
      </c>
    </row>
    <row r="29" spans="1:5" x14ac:dyDescent="0.25">
      <c r="A29" s="3" t="s">
        <v>141</v>
      </c>
      <c r="B29" s="10" t="s">
        <v>140</v>
      </c>
      <c r="C29" s="18">
        <v>0</v>
      </c>
      <c r="D29" s="18">
        <f t="shared" si="2"/>
        <v>0</v>
      </c>
      <c r="E29" s="18">
        <f t="shared" si="3"/>
        <v>0</v>
      </c>
    </row>
    <row r="30" spans="1:5" x14ac:dyDescent="0.25">
      <c r="A30" s="1" t="s">
        <v>142</v>
      </c>
      <c r="B30" s="10" t="s">
        <v>144</v>
      </c>
      <c r="C30" s="18">
        <v>0</v>
      </c>
      <c r="D30" s="18">
        <f t="shared" si="2"/>
        <v>0</v>
      </c>
      <c r="E30" s="18">
        <f t="shared" si="3"/>
        <v>0</v>
      </c>
    </row>
    <row r="31" spans="1:5" ht="30" x14ac:dyDescent="0.25">
      <c r="A31" s="1"/>
      <c r="B31" s="11" t="s">
        <v>145</v>
      </c>
      <c r="C31" s="16">
        <v>0</v>
      </c>
      <c r="D31" s="16"/>
      <c r="E31" s="16"/>
    </row>
    <row r="32" spans="1:5" x14ac:dyDescent="0.25">
      <c r="A32" s="1"/>
      <c r="B32" s="9" t="s">
        <v>146</v>
      </c>
      <c r="C32" s="16">
        <v>0</v>
      </c>
      <c r="D32" s="16"/>
      <c r="E32" s="16"/>
    </row>
    <row r="33" spans="1:8" x14ac:dyDescent="0.25">
      <c r="A33" s="12" t="s">
        <v>143</v>
      </c>
      <c r="B33" s="13" t="s">
        <v>147</v>
      </c>
      <c r="C33" s="18">
        <f>C34+C37</f>
        <v>45150</v>
      </c>
      <c r="D33" s="18">
        <f>C33*0.19</f>
        <v>8578.5</v>
      </c>
      <c r="E33" s="18">
        <f t="shared" ref="E33:E38" si="4">C33+D33</f>
        <v>53728.5</v>
      </c>
    </row>
    <row r="34" spans="1:8" x14ac:dyDescent="0.25">
      <c r="A34" s="1"/>
      <c r="B34" s="9" t="s">
        <v>190</v>
      </c>
      <c r="C34" s="23">
        <f>SUM(C35:C36)</f>
        <v>2850</v>
      </c>
      <c r="D34" s="23">
        <f>C34*0.19</f>
        <v>541.5</v>
      </c>
      <c r="E34" s="18">
        <f t="shared" si="4"/>
        <v>3391.5</v>
      </c>
    </row>
    <row r="35" spans="1:8" x14ac:dyDescent="0.25">
      <c r="A35" s="1"/>
      <c r="B35" s="9" t="s">
        <v>148</v>
      </c>
      <c r="C35" s="16">
        <v>2000</v>
      </c>
      <c r="D35" s="23">
        <f>C35*0.19</f>
        <v>380</v>
      </c>
      <c r="E35" s="18">
        <f t="shared" si="4"/>
        <v>2380</v>
      </c>
    </row>
    <row r="36" spans="1:8" ht="45" x14ac:dyDescent="0.25">
      <c r="A36" s="1"/>
      <c r="B36" s="11" t="s">
        <v>149</v>
      </c>
      <c r="C36" s="16">
        <v>850</v>
      </c>
      <c r="D36" s="23">
        <f>C36*0.19</f>
        <v>161.5</v>
      </c>
      <c r="E36" s="18">
        <f t="shared" si="4"/>
        <v>1011.5</v>
      </c>
    </row>
    <row r="37" spans="1:8" x14ac:dyDescent="0.25">
      <c r="A37" s="1"/>
      <c r="B37" s="9" t="s">
        <v>150</v>
      </c>
      <c r="C37" s="23">
        <v>42300</v>
      </c>
      <c r="D37" s="23">
        <f>C37*0.19</f>
        <v>8037</v>
      </c>
      <c r="E37" s="18">
        <f t="shared" si="4"/>
        <v>50337</v>
      </c>
    </row>
    <row r="38" spans="1:8" x14ac:dyDescent="0.25">
      <c r="A38" s="55" t="s">
        <v>151</v>
      </c>
      <c r="B38" s="56"/>
      <c r="C38" s="17">
        <f>C33+C30+C29+C22+C20+C19+C15</f>
        <v>156300</v>
      </c>
      <c r="D38" s="17">
        <f>D33+D22+D20+D19</f>
        <v>27422.7</v>
      </c>
      <c r="E38" s="17">
        <f t="shared" si="4"/>
        <v>183722.7</v>
      </c>
      <c r="G38" s="24"/>
    </row>
    <row r="39" spans="1:8" x14ac:dyDescent="0.25">
      <c r="A39" s="51" t="s">
        <v>152</v>
      </c>
      <c r="B39" s="57"/>
      <c r="C39" s="57"/>
      <c r="D39" s="57"/>
      <c r="E39" s="52"/>
      <c r="H39">
        <f>156300-144330</f>
        <v>11970</v>
      </c>
    </row>
    <row r="40" spans="1:8" x14ac:dyDescent="0.25">
      <c r="A40" s="60" t="s">
        <v>189</v>
      </c>
      <c r="B40" s="61"/>
      <c r="C40" s="61"/>
      <c r="D40" s="61"/>
      <c r="E40" s="62"/>
    </row>
    <row r="41" spans="1:8" x14ac:dyDescent="0.25">
      <c r="A41" s="1" t="s">
        <v>154</v>
      </c>
      <c r="B41" s="14" t="s">
        <v>153</v>
      </c>
      <c r="C41" s="18">
        <f>C42+C46+C51</f>
        <v>2212780.7600000002</v>
      </c>
      <c r="D41" s="18">
        <f>C41*0.19</f>
        <v>420428.34440000006</v>
      </c>
      <c r="E41" s="18">
        <f>C41+D41</f>
        <v>2633209.1044000005</v>
      </c>
    </row>
    <row r="42" spans="1:8" x14ac:dyDescent="0.25">
      <c r="A42" s="1"/>
      <c r="B42" s="14"/>
      <c r="C42" s="18">
        <v>1546781.1</v>
      </c>
      <c r="D42" s="18">
        <f t="shared" ref="D42:D56" si="5">C42*0.19</f>
        <v>293888.40900000004</v>
      </c>
      <c r="E42" s="18">
        <f t="shared" ref="E42:E56" si="6">C42+D42</f>
        <v>1840669.5090000001</v>
      </c>
      <c r="G42" s="24"/>
    </row>
    <row r="43" spans="1:8" x14ac:dyDescent="0.25">
      <c r="A43" s="1"/>
      <c r="B43" s="14"/>
      <c r="C43" s="18">
        <v>331231.53999999998</v>
      </c>
      <c r="D43" s="18">
        <f t="shared" si="5"/>
        <v>62933.992599999998</v>
      </c>
      <c r="E43" s="18">
        <f t="shared" si="6"/>
        <v>394165.53259999998</v>
      </c>
    </row>
    <row r="44" spans="1:8" x14ac:dyDescent="0.25">
      <c r="A44" s="1"/>
      <c r="B44" s="14"/>
      <c r="C44" s="18">
        <v>1108401.79</v>
      </c>
      <c r="D44" s="18"/>
      <c r="E44" s="18"/>
    </row>
    <row r="45" spans="1:8" x14ac:dyDescent="0.25">
      <c r="A45" s="1"/>
      <c r="B45" s="14"/>
      <c r="C45" s="18">
        <v>107147.77</v>
      </c>
      <c r="D45" s="18">
        <f t="shared" si="5"/>
        <v>20358.076300000001</v>
      </c>
      <c r="E45" s="18">
        <f t="shared" si="6"/>
        <v>127505.8463</v>
      </c>
    </row>
    <row r="46" spans="1:8" x14ac:dyDescent="0.25">
      <c r="A46" s="1"/>
      <c r="B46" s="9"/>
      <c r="C46" s="16">
        <v>319107.76</v>
      </c>
      <c r="D46" s="18">
        <f t="shared" si="5"/>
        <v>60630.474399999999</v>
      </c>
      <c r="E46" s="18">
        <f t="shared" si="6"/>
        <v>379738.23440000002</v>
      </c>
    </row>
    <row r="47" spans="1:8" x14ac:dyDescent="0.25">
      <c r="A47" s="1"/>
      <c r="B47" s="9"/>
      <c r="C47" s="16">
        <v>177554.3</v>
      </c>
      <c r="D47" s="18">
        <f t="shared" si="5"/>
        <v>33735.316999999995</v>
      </c>
      <c r="E47" s="18">
        <f t="shared" si="6"/>
        <v>211289.61699999997</v>
      </c>
    </row>
    <row r="48" spans="1:8" x14ac:dyDescent="0.25">
      <c r="A48" s="1"/>
      <c r="B48" s="9"/>
      <c r="C48" s="16">
        <v>47237.91</v>
      </c>
      <c r="D48" s="18">
        <f t="shared" si="5"/>
        <v>8975.2029000000002</v>
      </c>
      <c r="E48" s="18">
        <f t="shared" si="6"/>
        <v>56213.112900000007</v>
      </c>
      <c r="H48" s="24"/>
    </row>
    <row r="49" spans="1:5" x14ac:dyDescent="0.25">
      <c r="A49" s="1"/>
      <c r="B49" s="9"/>
      <c r="C49" s="16">
        <v>69915.3</v>
      </c>
      <c r="D49" s="18">
        <f t="shared" si="5"/>
        <v>13283.907000000001</v>
      </c>
      <c r="E49" s="18">
        <f t="shared" si="6"/>
        <v>83199.207000000009</v>
      </c>
    </row>
    <row r="50" spans="1:5" x14ac:dyDescent="0.25">
      <c r="A50" s="1"/>
      <c r="B50" s="9"/>
      <c r="C50" s="16">
        <v>24400.25</v>
      </c>
      <c r="D50" s="18">
        <f t="shared" ref="D50:D55" si="7">C50*0.19</f>
        <v>4636.0474999999997</v>
      </c>
      <c r="E50" s="18">
        <f t="shared" ref="E50:E55" si="8">C50+D50</f>
        <v>29036.297500000001</v>
      </c>
    </row>
    <row r="51" spans="1:5" x14ac:dyDescent="0.25">
      <c r="A51" s="1"/>
      <c r="B51" s="9"/>
      <c r="C51" s="16">
        <v>346891.9</v>
      </c>
      <c r="D51" s="18">
        <f t="shared" si="7"/>
        <v>65909.46100000001</v>
      </c>
      <c r="E51" s="18">
        <f t="shared" si="8"/>
        <v>412801.36100000003</v>
      </c>
    </row>
    <row r="52" spans="1:5" x14ac:dyDescent="0.25">
      <c r="A52" s="1"/>
      <c r="B52" s="9"/>
      <c r="C52" s="16">
        <v>114976.46</v>
      </c>
      <c r="D52" s="18">
        <f t="shared" si="7"/>
        <v>21845.527400000003</v>
      </c>
      <c r="E52" s="18">
        <f t="shared" si="8"/>
        <v>136821.98740000001</v>
      </c>
    </row>
    <row r="53" spans="1:5" x14ac:dyDescent="0.25">
      <c r="A53" s="1"/>
      <c r="B53" s="9"/>
      <c r="C53" s="16">
        <v>25197.14</v>
      </c>
      <c r="D53" s="18">
        <f t="shared" si="7"/>
        <v>4787.4565999999995</v>
      </c>
      <c r="E53" s="18">
        <f t="shared" si="8"/>
        <v>29984.596599999997</v>
      </c>
    </row>
    <row r="54" spans="1:5" x14ac:dyDescent="0.25">
      <c r="A54" s="1"/>
      <c r="B54" s="9"/>
      <c r="C54" s="16">
        <v>98264.45</v>
      </c>
      <c r="D54" s="18">
        <f t="shared" si="7"/>
        <v>18670.245500000001</v>
      </c>
      <c r="E54" s="18">
        <f t="shared" si="8"/>
        <v>116934.6955</v>
      </c>
    </row>
    <row r="55" spans="1:5" x14ac:dyDescent="0.25">
      <c r="A55" s="1"/>
      <c r="B55" s="9"/>
      <c r="C55" s="21">
        <v>108453.85</v>
      </c>
      <c r="D55" s="21">
        <f t="shared" si="7"/>
        <v>20606.231500000002</v>
      </c>
      <c r="E55" s="21">
        <f t="shared" si="8"/>
        <v>129060.0815</v>
      </c>
    </row>
    <row r="56" spans="1:5" x14ac:dyDescent="0.25">
      <c r="A56" s="1"/>
      <c r="B56" s="9"/>
      <c r="C56" s="16"/>
      <c r="D56" s="18">
        <f t="shared" si="5"/>
        <v>0</v>
      </c>
      <c r="E56" s="18">
        <f t="shared" si="6"/>
        <v>0</v>
      </c>
    </row>
    <row r="57" spans="1:5" ht="30" x14ac:dyDescent="0.25">
      <c r="A57" s="1" t="s">
        <v>156</v>
      </c>
      <c r="B57" s="11" t="s">
        <v>155</v>
      </c>
      <c r="C57" s="18">
        <f>SUM(C58:C58)</f>
        <v>0</v>
      </c>
      <c r="D57" s="18">
        <f t="shared" ref="D57:D67" si="9">C57*0.19</f>
        <v>0</v>
      </c>
      <c r="E57" s="18">
        <f t="shared" ref="E57:E67" si="10">C57+D57</f>
        <v>0</v>
      </c>
    </row>
    <row r="58" spans="1:5" x14ac:dyDescent="0.25">
      <c r="A58" s="1"/>
      <c r="B58" s="11"/>
      <c r="C58" s="19"/>
      <c r="D58" s="19"/>
      <c r="E58" s="19"/>
    </row>
    <row r="59" spans="1:5" ht="30" x14ac:dyDescent="0.25">
      <c r="A59" s="1" t="s">
        <v>157</v>
      </c>
      <c r="B59" s="11" t="s">
        <v>158</v>
      </c>
      <c r="C59" s="18">
        <v>0</v>
      </c>
      <c r="D59" s="18">
        <f t="shared" si="9"/>
        <v>0</v>
      </c>
      <c r="E59" s="18">
        <f t="shared" si="10"/>
        <v>0</v>
      </c>
    </row>
    <row r="60" spans="1:5" ht="45" x14ac:dyDescent="0.25">
      <c r="A60" s="1" t="s">
        <v>159</v>
      </c>
      <c r="B60" s="11" t="s">
        <v>160</v>
      </c>
      <c r="C60" s="18">
        <v>0</v>
      </c>
      <c r="D60" s="18">
        <f t="shared" si="9"/>
        <v>0</v>
      </c>
      <c r="E60" s="18">
        <f t="shared" si="10"/>
        <v>0</v>
      </c>
    </row>
    <row r="61" spans="1:5" x14ac:dyDescent="0.25">
      <c r="A61" s="12" t="s">
        <v>161</v>
      </c>
      <c r="B61" s="13" t="s">
        <v>163</v>
      </c>
      <c r="C61" s="18">
        <f>SUM(C62:C66)</f>
        <v>0</v>
      </c>
      <c r="D61" s="18">
        <f t="shared" si="9"/>
        <v>0</v>
      </c>
      <c r="E61" s="18">
        <f t="shared" si="10"/>
        <v>0</v>
      </c>
    </row>
    <row r="62" spans="1:5" x14ac:dyDescent="0.25">
      <c r="A62" s="1"/>
      <c r="B62" s="26" t="s">
        <v>191</v>
      </c>
      <c r="C62" s="16"/>
      <c r="D62" s="16"/>
      <c r="E62" s="16"/>
    </row>
    <row r="63" spans="1:5" x14ac:dyDescent="0.25">
      <c r="A63" s="1"/>
      <c r="B63" s="26" t="s">
        <v>192</v>
      </c>
      <c r="C63" s="16"/>
      <c r="D63" s="16"/>
      <c r="E63" s="16"/>
    </row>
    <row r="64" spans="1:5" x14ac:dyDescent="0.25">
      <c r="A64" s="1"/>
      <c r="B64" s="26" t="s">
        <v>193</v>
      </c>
      <c r="C64" s="16"/>
      <c r="D64" s="16"/>
      <c r="E64" s="16"/>
    </row>
    <row r="65" spans="1:5" x14ac:dyDescent="0.25">
      <c r="A65" s="1"/>
      <c r="B65" s="26" t="s">
        <v>194</v>
      </c>
      <c r="C65" s="16"/>
      <c r="D65" s="16"/>
      <c r="E65" s="16"/>
    </row>
    <row r="66" spans="1:5" x14ac:dyDescent="0.25">
      <c r="A66" s="1" t="s">
        <v>162</v>
      </c>
      <c r="B66" s="9" t="s">
        <v>164</v>
      </c>
      <c r="C66" s="16"/>
      <c r="D66" s="16"/>
      <c r="E66" s="16"/>
    </row>
    <row r="67" spans="1:5" x14ac:dyDescent="0.25">
      <c r="A67" s="55" t="s">
        <v>165</v>
      </c>
      <c r="B67" s="56"/>
      <c r="C67" s="17">
        <f>C41+C57+C59+C60+C61</f>
        <v>2212780.7600000002</v>
      </c>
      <c r="D67" s="17">
        <f t="shared" si="9"/>
        <v>420428.34440000006</v>
      </c>
      <c r="E67" s="17">
        <f t="shared" si="10"/>
        <v>2633209.1044000005</v>
      </c>
    </row>
    <row r="68" spans="1:5" x14ac:dyDescent="0.25">
      <c r="A68" s="51" t="s">
        <v>166</v>
      </c>
      <c r="B68" s="57"/>
      <c r="C68" s="57"/>
      <c r="D68" s="57"/>
      <c r="E68" s="52"/>
    </row>
    <row r="69" spans="1:5" x14ac:dyDescent="0.25">
      <c r="A69" s="51" t="s">
        <v>167</v>
      </c>
      <c r="B69" s="57"/>
      <c r="C69" s="57"/>
      <c r="D69" s="57"/>
      <c r="E69" s="52"/>
    </row>
    <row r="70" spans="1:5" x14ac:dyDescent="0.25">
      <c r="A70" s="1" t="s">
        <v>169</v>
      </c>
      <c r="B70" s="10" t="s">
        <v>168</v>
      </c>
      <c r="C70" s="18">
        <f>SUM(C71:C72)</f>
        <v>38287.43</v>
      </c>
      <c r="D70" s="18">
        <f>C70*0.19</f>
        <v>7274.6117000000004</v>
      </c>
      <c r="E70" s="18">
        <f>C70+D70</f>
        <v>45562.041700000002</v>
      </c>
    </row>
    <row r="71" spans="1:5" ht="30" x14ac:dyDescent="0.25">
      <c r="A71" s="1"/>
      <c r="B71" s="11" t="s">
        <v>170</v>
      </c>
      <c r="C71" s="16">
        <v>38287.43</v>
      </c>
      <c r="D71" s="16"/>
      <c r="E71" s="16"/>
    </row>
    <row r="72" spans="1:5" x14ac:dyDescent="0.25">
      <c r="A72" s="1"/>
      <c r="B72" s="9" t="s">
        <v>171</v>
      </c>
      <c r="C72" s="16">
        <v>0</v>
      </c>
      <c r="D72" s="16"/>
      <c r="E72" s="16"/>
    </row>
    <row r="73" spans="1:5" x14ac:dyDescent="0.25">
      <c r="A73" s="1" t="s">
        <v>173</v>
      </c>
      <c r="B73" s="13" t="s">
        <v>172</v>
      </c>
      <c r="C73" s="18">
        <f>SUM(C74:C78)</f>
        <v>25823.25</v>
      </c>
      <c r="D73" s="18">
        <v>8</v>
      </c>
      <c r="E73" s="18">
        <f>C73+D73</f>
        <v>25831.25</v>
      </c>
    </row>
    <row r="74" spans="1:5" ht="30" x14ac:dyDescent="0.25">
      <c r="A74" s="1"/>
      <c r="B74" s="11" t="s">
        <v>174</v>
      </c>
      <c r="C74" s="19">
        <v>0</v>
      </c>
      <c r="D74" s="19"/>
      <c r="E74" s="19"/>
    </row>
    <row r="75" spans="1:5" ht="30" x14ac:dyDescent="0.25">
      <c r="A75" s="1"/>
      <c r="B75" s="11" t="s">
        <v>195</v>
      </c>
      <c r="C75" s="19">
        <v>11737.84</v>
      </c>
      <c r="D75" s="19"/>
      <c r="E75" s="19">
        <f>C75</f>
        <v>11737.84</v>
      </c>
    </row>
    <row r="76" spans="1:5" ht="45" x14ac:dyDescent="0.25">
      <c r="A76" s="1"/>
      <c r="B76" s="11" t="s">
        <v>196</v>
      </c>
      <c r="C76" s="19">
        <v>2347.5700000000002</v>
      </c>
      <c r="D76" s="19"/>
      <c r="E76" s="19">
        <f>C76</f>
        <v>2347.5700000000002</v>
      </c>
    </row>
    <row r="77" spans="1:5" x14ac:dyDescent="0.25">
      <c r="A77" s="1"/>
      <c r="B77" s="11" t="s">
        <v>197</v>
      </c>
      <c r="C77" s="19">
        <v>11737.84</v>
      </c>
      <c r="D77" s="19"/>
      <c r="E77" s="19">
        <f>C77</f>
        <v>11737.84</v>
      </c>
    </row>
    <row r="78" spans="1:5" ht="30" x14ac:dyDescent="0.25">
      <c r="A78" s="1"/>
      <c r="B78" s="11" t="s">
        <v>198</v>
      </c>
      <c r="C78" s="27"/>
      <c r="D78" s="19">
        <v>8</v>
      </c>
      <c r="E78" s="19">
        <f>C78+D78</f>
        <v>8</v>
      </c>
    </row>
    <row r="79" spans="1:5" x14ac:dyDescent="0.25">
      <c r="A79" s="1" t="s">
        <v>175</v>
      </c>
      <c r="B79" s="9" t="s">
        <v>199</v>
      </c>
      <c r="C79" s="18">
        <v>442556.15</v>
      </c>
      <c r="D79" s="18">
        <f>C79*0.19</f>
        <v>84085.6685</v>
      </c>
      <c r="E79" s="19">
        <f>C79+D79</f>
        <v>526641.81850000005</v>
      </c>
    </row>
    <row r="80" spans="1:5" x14ac:dyDescent="0.25">
      <c r="A80" s="1" t="s">
        <v>177</v>
      </c>
      <c r="B80" s="9" t="s">
        <v>176</v>
      </c>
      <c r="C80" s="18">
        <v>0</v>
      </c>
      <c r="D80" s="18"/>
      <c r="E80" s="19">
        <f>C80+D80</f>
        <v>0</v>
      </c>
    </row>
    <row r="81" spans="1:5" x14ac:dyDescent="0.25">
      <c r="A81" s="58" t="s">
        <v>178</v>
      </c>
      <c r="B81" s="58"/>
      <c r="C81" s="17">
        <f>C70+C73+C79+C80</f>
        <v>506666.83</v>
      </c>
      <c r="D81" s="17">
        <f>D79+D73+D70</f>
        <v>91368.280199999994</v>
      </c>
      <c r="E81" s="17">
        <f>C81+D81</f>
        <v>598035.1102</v>
      </c>
    </row>
    <row r="82" spans="1:5" x14ac:dyDescent="0.25">
      <c r="A82" s="51" t="s">
        <v>179</v>
      </c>
      <c r="B82" s="57"/>
      <c r="C82" s="57"/>
      <c r="D82" s="57"/>
      <c r="E82" s="52"/>
    </row>
    <row r="83" spans="1:5" x14ac:dyDescent="0.25">
      <c r="A83" s="59" t="s">
        <v>180</v>
      </c>
      <c r="B83" s="57"/>
      <c r="C83" s="57"/>
      <c r="D83" s="57"/>
      <c r="E83" s="52"/>
    </row>
    <row r="84" spans="1:5" x14ac:dyDescent="0.25">
      <c r="A84" s="1" t="s">
        <v>182</v>
      </c>
      <c r="B84" s="6" t="s">
        <v>181</v>
      </c>
      <c r="C84" s="16"/>
      <c r="D84" s="16">
        <f>C84*0.19</f>
        <v>0</v>
      </c>
      <c r="E84" s="16">
        <f>C84+D84</f>
        <v>0</v>
      </c>
    </row>
    <row r="85" spans="1:5" x14ac:dyDescent="0.25">
      <c r="A85" s="1" t="s">
        <v>183</v>
      </c>
      <c r="B85" s="6" t="s">
        <v>184</v>
      </c>
      <c r="C85" s="16"/>
      <c r="D85" s="16">
        <f>C85*0.19</f>
        <v>0</v>
      </c>
      <c r="E85" s="16">
        <f>C85+D85</f>
        <v>0</v>
      </c>
    </row>
    <row r="86" spans="1:5" x14ac:dyDescent="0.25">
      <c r="A86" s="55" t="s">
        <v>185</v>
      </c>
      <c r="B86" s="56"/>
      <c r="C86" s="17">
        <f>SUM(C84:C85)</f>
        <v>0</v>
      </c>
      <c r="D86" s="17">
        <f>C86*0.19</f>
        <v>0</v>
      </c>
      <c r="E86" s="17">
        <f>C86+D86</f>
        <v>0</v>
      </c>
    </row>
    <row r="87" spans="1:5" x14ac:dyDescent="0.25">
      <c r="A87" s="49" t="s">
        <v>186</v>
      </c>
      <c r="B87" s="50"/>
      <c r="C87" s="20">
        <f>C86+C81+C67+C38+C12+C9</f>
        <v>2972247.5900000003</v>
      </c>
      <c r="D87" s="20">
        <f>D81+D67+D38+D12+D9</f>
        <v>557554.32460000005</v>
      </c>
      <c r="E87" s="20">
        <f>C87+D87</f>
        <v>3529801.9146000003</v>
      </c>
    </row>
    <row r="88" spans="1:5" x14ac:dyDescent="0.25">
      <c r="A88" s="51" t="s">
        <v>187</v>
      </c>
      <c r="B88" s="52"/>
      <c r="C88" s="16"/>
      <c r="D88" s="16"/>
      <c r="E88" s="16"/>
    </row>
    <row r="89" spans="1:5" x14ac:dyDescent="0.25">
      <c r="A89" s="53" t="s">
        <v>188</v>
      </c>
      <c r="B89" s="54"/>
      <c r="C89" s="25">
        <f>C6+C7+C8+C12+C41+C57+C71</f>
        <v>2347568.1900000004</v>
      </c>
      <c r="D89" s="25">
        <f>C89*0.19</f>
        <v>446037.95610000007</v>
      </c>
      <c r="E89" s="25">
        <f>C89+D89</f>
        <v>2793606.1461000005</v>
      </c>
    </row>
  </sheetData>
  <mergeCells count="19">
    <mergeCell ref="A9:B9"/>
    <mergeCell ref="A10:E10"/>
    <mergeCell ref="A11:E11"/>
    <mergeCell ref="A12:B12"/>
    <mergeCell ref="A13:E13"/>
    <mergeCell ref="A14:E14"/>
    <mergeCell ref="A38:B38"/>
    <mergeCell ref="A39:E39"/>
    <mergeCell ref="A40:E40"/>
    <mergeCell ref="A86:B86"/>
    <mergeCell ref="A87:B87"/>
    <mergeCell ref="A88:B88"/>
    <mergeCell ref="A89:B89"/>
    <mergeCell ref="A67:B67"/>
    <mergeCell ref="A68:E68"/>
    <mergeCell ref="A69:E69"/>
    <mergeCell ref="A81:B81"/>
    <mergeCell ref="A82:E82"/>
    <mergeCell ref="A83:E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7" workbookViewId="0">
      <selection activeCell="A57" sqref="A1:IV65536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 x14ac:dyDescent="0.25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 x14ac:dyDescent="0.2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 x14ac:dyDescent="0.25">
      <c r="A3" s="2" t="s">
        <v>105</v>
      </c>
      <c r="B3" s="6"/>
      <c r="C3" s="16"/>
      <c r="D3" s="16"/>
      <c r="E3" s="16"/>
    </row>
    <row r="4" spans="1:5" x14ac:dyDescent="0.25">
      <c r="A4" s="8" t="s">
        <v>106</v>
      </c>
      <c r="B4" s="9"/>
      <c r="C4" s="16"/>
      <c r="D4" s="16"/>
      <c r="E4" s="16"/>
    </row>
    <row r="5" spans="1:5" x14ac:dyDescent="0.25">
      <c r="A5" s="3" t="s">
        <v>108</v>
      </c>
      <c r="B5" s="6" t="s">
        <v>107</v>
      </c>
      <c r="C5" s="16">
        <v>0</v>
      </c>
      <c r="D5" s="16"/>
      <c r="E5" s="16"/>
    </row>
    <row r="6" spans="1:5" x14ac:dyDescent="0.2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 x14ac:dyDescent="0.25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 x14ac:dyDescent="0.25">
      <c r="A8" s="1" t="s">
        <v>111</v>
      </c>
      <c r="B8" s="5" t="s">
        <v>114</v>
      </c>
      <c r="C8" s="16">
        <v>0</v>
      </c>
      <c r="D8" s="16"/>
      <c r="E8" s="16"/>
    </row>
    <row r="9" spans="1:5" x14ac:dyDescent="0.25">
      <c r="A9" s="63" t="s">
        <v>115</v>
      </c>
      <c r="B9" s="56"/>
      <c r="C9" s="17">
        <f>SUM(C5:C8)</f>
        <v>0</v>
      </c>
      <c r="D9" s="17">
        <f>C9*0.19</f>
        <v>0</v>
      </c>
      <c r="E9" s="17">
        <f>C9+D9</f>
        <v>0</v>
      </c>
    </row>
    <row r="10" spans="1:5" x14ac:dyDescent="0.25">
      <c r="A10" s="51" t="s">
        <v>116</v>
      </c>
      <c r="B10" s="57"/>
      <c r="C10" s="57"/>
      <c r="D10" s="57"/>
      <c r="E10" s="52"/>
    </row>
    <row r="11" spans="1:5" x14ac:dyDescent="0.25">
      <c r="A11" s="51" t="s">
        <v>117</v>
      </c>
      <c r="B11" s="57"/>
      <c r="C11" s="57"/>
      <c r="D11" s="57"/>
      <c r="E11" s="52"/>
    </row>
    <row r="12" spans="1:5" x14ac:dyDescent="0.25">
      <c r="A12" s="63" t="s">
        <v>118</v>
      </c>
      <c r="B12" s="56"/>
      <c r="C12" s="17">
        <v>0</v>
      </c>
      <c r="D12" s="17">
        <f>C12*0.19</f>
        <v>0</v>
      </c>
      <c r="E12" s="17">
        <f>C12+D12</f>
        <v>0</v>
      </c>
    </row>
    <row r="13" spans="1:5" x14ac:dyDescent="0.25">
      <c r="A13" s="51" t="s">
        <v>119</v>
      </c>
      <c r="B13" s="57"/>
      <c r="C13" s="57"/>
      <c r="D13" s="57"/>
      <c r="E13" s="52"/>
    </row>
    <row r="14" spans="1:5" x14ac:dyDescent="0.25">
      <c r="A14" s="51" t="s">
        <v>124</v>
      </c>
      <c r="B14" s="57"/>
      <c r="C14" s="57"/>
      <c r="D14" s="57"/>
      <c r="E14" s="52"/>
    </row>
    <row r="15" spans="1:5" x14ac:dyDescent="0.2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 x14ac:dyDescent="0.2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 x14ac:dyDescent="0.2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 x14ac:dyDescent="0.2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 x14ac:dyDescent="0.25">
      <c r="A19" s="3" t="s">
        <v>127</v>
      </c>
      <c r="B19" s="22" t="s">
        <v>126</v>
      </c>
      <c r="C19" s="18">
        <v>5000</v>
      </c>
      <c r="D19" s="18">
        <f t="shared" si="0"/>
        <v>950</v>
      </c>
      <c r="E19" s="18">
        <f t="shared" si="1"/>
        <v>5950</v>
      </c>
    </row>
    <row r="20" spans="1:5" x14ac:dyDescent="0.25">
      <c r="A20" s="1" t="s">
        <v>128</v>
      </c>
      <c r="B20" s="13" t="s">
        <v>131</v>
      </c>
      <c r="C20" s="18">
        <v>0</v>
      </c>
      <c r="D20" s="18">
        <f t="shared" si="0"/>
        <v>0</v>
      </c>
      <c r="E20" s="18">
        <f t="shared" si="1"/>
        <v>0</v>
      </c>
    </row>
    <row r="21" spans="1:5" ht="30" x14ac:dyDescent="0.25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 x14ac:dyDescent="0.25">
      <c r="A22" s="1" t="s">
        <v>130</v>
      </c>
      <c r="B22" s="10" t="s">
        <v>133</v>
      </c>
      <c r="C22" s="18">
        <f>SUM(C23:C28)</f>
        <v>117650</v>
      </c>
      <c r="D22" s="18">
        <f>C22*0.19</f>
        <v>22353.5</v>
      </c>
      <c r="E22" s="18">
        <f>D22+C22</f>
        <v>140003.5</v>
      </c>
    </row>
    <row r="23" spans="1:5" x14ac:dyDescent="0.2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 x14ac:dyDescent="0.2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 x14ac:dyDescent="0.25">
      <c r="A25" s="1"/>
      <c r="B25" s="11" t="s">
        <v>136</v>
      </c>
      <c r="C25" s="16">
        <v>64000</v>
      </c>
      <c r="D25" s="16">
        <f t="shared" si="0"/>
        <v>12160</v>
      </c>
      <c r="E25" s="16">
        <f t="shared" si="2"/>
        <v>76160</v>
      </c>
    </row>
    <row r="26" spans="1:5" ht="45" x14ac:dyDescent="0.25">
      <c r="A26" s="1"/>
      <c r="B26" s="11" t="s">
        <v>137</v>
      </c>
      <c r="C26" s="16">
        <v>0</v>
      </c>
      <c r="D26" s="16">
        <f t="shared" si="0"/>
        <v>0</v>
      </c>
      <c r="E26" s="16">
        <f t="shared" si="2"/>
        <v>0</v>
      </c>
    </row>
    <row r="27" spans="1:5" ht="30" x14ac:dyDescent="0.25">
      <c r="A27" s="1"/>
      <c r="B27" s="11" t="s">
        <v>138</v>
      </c>
      <c r="C27" s="16">
        <v>0</v>
      </c>
      <c r="D27" s="16">
        <v>900</v>
      </c>
      <c r="E27" s="16">
        <f t="shared" si="2"/>
        <v>900</v>
      </c>
    </row>
    <row r="28" spans="1:5" x14ac:dyDescent="0.25">
      <c r="A28" s="1"/>
      <c r="B28" s="9" t="s">
        <v>139</v>
      </c>
      <c r="C28" s="16">
        <v>53650</v>
      </c>
      <c r="D28" s="16">
        <f t="shared" si="0"/>
        <v>10193.5</v>
      </c>
      <c r="E28" s="16">
        <f t="shared" si="2"/>
        <v>63843.5</v>
      </c>
    </row>
    <row r="29" spans="1:5" x14ac:dyDescent="0.2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 x14ac:dyDescent="0.2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 x14ac:dyDescent="0.25">
      <c r="A31" s="1"/>
      <c r="B31" s="11" t="s">
        <v>145</v>
      </c>
      <c r="C31" s="16">
        <v>0</v>
      </c>
      <c r="D31" s="16"/>
      <c r="E31" s="16"/>
    </row>
    <row r="32" spans="1:5" x14ac:dyDescent="0.25">
      <c r="A32" s="1"/>
      <c r="B32" s="9" t="s">
        <v>146</v>
      </c>
      <c r="C32" s="16">
        <v>0</v>
      </c>
      <c r="D32" s="16"/>
      <c r="E32" s="16"/>
    </row>
    <row r="33" spans="1:8" x14ac:dyDescent="0.25">
      <c r="A33" s="12" t="s">
        <v>143</v>
      </c>
      <c r="B33" s="13" t="s">
        <v>147</v>
      </c>
      <c r="C33" s="18">
        <f>C34+C37</f>
        <v>10000</v>
      </c>
      <c r="D33" s="18">
        <f>C33*0.19</f>
        <v>1900</v>
      </c>
      <c r="E33" s="18">
        <f t="shared" ref="E33:E38" si="3">C33+D33</f>
        <v>11900</v>
      </c>
    </row>
    <row r="34" spans="1:8" x14ac:dyDescent="0.25">
      <c r="A34" s="1"/>
      <c r="B34" s="9" t="s">
        <v>190</v>
      </c>
      <c r="C34" s="23">
        <f>SUM(C35:C36)</f>
        <v>2500</v>
      </c>
      <c r="D34" s="23">
        <f>C34*0.19</f>
        <v>475</v>
      </c>
      <c r="E34" s="18">
        <f t="shared" si="3"/>
        <v>2975</v>
      </c>
    </row>
    <row r="35" spans="1:8" x14ac:dyDescent="0.25">
      <c r="A35" s="1"/>
      <c r="B35" s="9" t="s">
        <v>148</v>
      </c>
      <c r="C35" s="16">
        <v>2500</v>
      </c>
      <c r="D35" s="23">
        <f>C35*0.19</f>
        <v>475</v>
      </c>
      <c r="E35" s="18">
        <f t="shared" si="3"/>
        <v>2975</v>
      </c>
    </row>
    <row r="36" spans="1:8" ht="45" x14ac:dyDescent="0.25">
      <c r="A36" s="1"/>
      <c r="B36" s="11" t="s">
        <v>149</v>
      </c>
      <c r="C36" s="16">
        <v>0</v>
      </c>
      <c r="D36" s="23">
        <f>C36*0.19</f>
        <v>0</v>
      </c>
      <c r="E36" s="18">
        <f t="shared" si="3"/>
        <v>0</v>
      </c>
    </row>
    <row r="37" spans="1:8" x14ac:dyDescent="0.25">
      <c r="A37" s="1"/>
      <c r="B37" s="9" t="s">
        <v>150</v>
      </c>
      <c r="C37" s="23">
        <v>7500</v>
      </c>
      <c r="D37" s="23">
        <f>C37*0.19</f>
        <v>1425</v>
      </c>
      <c r="E37" s="18">
        <f t="shared" si="3"/>
        <v>8925</v>
      </c>
    </row>
    <row r="38" spans="1:8" x14ac:dyDescent="0.25">
      <c r="A38" s="55" t="s">
        <v>151</v>
      </c>
      <c r="B38" s="56"/>
      <c r="C38" s="17">
        <f>C33+C30+C29+C22+C20+C19+C15</f>
        <v>132650</v>
      </c>
      <c r="D38" s="17">
        <f>D33+D22+D20+D19</f>
        <v>25203.5</v>
      </c>
      <c r="E38" s="17">
        <f t="shared" si="3"/>
        <v>157853.5</v>
      </c>
      <c r="G38" s="24"/>
    </row>
    <row r="39" spans="1:8" x14ac:dyDescent="0.25">
      <c r="A39" s="51" t="s">
        <v>152</v>
      </c>
      <c r="B39" s="57"/>
      <c r="C39" s="57"/>
      <c r="D39" s="57"/>
      <c r="E39" s="52"/>
      <c r="H39">
        <f>156300-144330</f>
        <v>11970</v>
      </c>
    </row>
    <row r="40" spans="1:8" x14ac:dyDescent="0.25">
      <c r="A40" s="60" t="s">
        <v>189</v>
      </c>
      <c r="B40" s="61"/>
      <c r="C40" s="61"/>
      <c r="D40" s="61"/>
      <c r="E40" s="62"/>
    </row>
    <row r="41" spans="1:8" x14ac:dyDescent="0.25">
      <c r="A41" s="1" t="s">
        <v>154</v>
      </c>
      <c r="B41" s="14" t="s">
        <v>153</v>
      </c>
      <c r="C41" s="18">
        <v>301877.81</v>
      </c>
      <c r="D41" s="18">
        <f>C41*0.19</f>
        <v>57356.783900000002</v>
      </c>
      <c r="E41" s="18">
        <f>C41+D41</f>
        <v>359234.59389999998</v>
      </c>
    </row>
    <row r="42" spans="1:8" ht="30" x14ac:dyDescent="0.25">
      <c r="A42" s="1" t="s">
        <v>156</v>
      </c>
      <c r="B42" s="11" t="s">
        <v>155</v>
      </c>
      <c r="C42" s="18">
        <v>0</v>
      </c>
      <c r="D42" s="18">
        <f t="shared" ref="D42:D51" si="4">C42*0.19</f>
        <v>0</v>
      </c>
      <c r="E42" s="18">
        <f t="shared" ref="E42:E51" si="5">C42+D42</f>
        <v>0</v>
      </c>
    </row>
    <row r="43" spans="1:8" ht="30" x14ac:dyDescent="0.25">
      <c r="A43" s="1" t="s">
        <v>157</v>
      </c>
      <c r="B43" s="11" t="s">
        <v>158</v>
      </c>
      <c r="C43" s="18">
        <v>0</v>
      </c>
      <c r="D43" s="18">
        <f t="shared" si="4"/>
        <v>0</v>
      </c>
      <c r="E43" s="18">
        <f t="shared" si="5"/>
        <v>0</v>
      </c>
    </row>
    <row r="44" spans="1:8" ht="45" x14ac:dyDescent="0.2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8" x14ac:dyDescent="0.25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8" ht="0.75" customHeight="1" x14ac:dyDescent="0.25">
      <c r="A46" s="1"/>
      <c r="B46" s="26" t="s">
        <v>191</v>
      </c>
      <c r="C46" s="16"/>
      <c r="D46" s="16"/>
      <c r="E46" s="16"/>
    </row>
    <row r="47" spans="1:8" hidden="1" x14ac:dyDescent="0.25">
      <c r="A47" s="1"/>
      <c r="B47" s="26" t="s">
        <v>192</v>
      </c>
      <c r="C47" s="16"/>
      <c r="D47" s="16"/>
      <c r="E47" s="16"/>
    </row>
    <row r="48" spans="1:8" hidden="1" x14ac:dyDescent="0.25">
      <c r="A48" s="1"/>
      <c r="B48" s="26" t="s">
        <v>193</v>
      </c>
      <c r="C48" s="16"/>
      <c r="D48" s="16"/>
      <c r="E48" s="16"/>
    </row>
    <row r="49" spans="1:5" hidden="1" x14ac:dyDescent="0.25">
      <c r="A49" s="1"/>
      <c r="B49" s="26" t="s">
        <v>194</v>
      </c>
      <c r="C49" s="16"/>
      <c r="D49" s="16"/>
      <c r="E49" s="16"/>
    </row>
    <row r="50" spans="1:5" hidden="1" x14ac:dyDescent="0.25">
      <c r="A50" s="1" t="s">
        <v>162</v>
      </c>
      <c r="B50" s="9" t="s">
        <v>164</v>
      </c>
      <c r="C50" s="16"/>
      <c r="D50" s="16"/>
      <c r="E50" s="16"/>
    </row>
    <row r="51" spans="1:5" x14ac:dyDescent="0.25">
      <c r="A51" s="55" t="s">
        <v>165</v>
      </c>
      <c r="B51" s="56"/>
      <c r="C51" s="17">
        <f>C41+C42+C43+C44+C45</f>
        <v>301877.81</v>
      </c>
      <c r="D51" s="17">
        <f t="shared" si="4"/>
        <v>57356.783900000002</v>
      </c>
      <c r="E51" s="17">
        <f t="shared" si="5"/>
        <v>359234.59389999998</v>
      </c>
    </row>
    <row r="52" spans="1:5" x14ac:dyDescent="0.25">
      <c r="A52" s="51" t="s">
        <v>166</v>
      </c>
      <c r="B52" s="57"/>
      <c r="C52" s="57"/>
      <c r="D52" s="57"/>
      <c r="E52" s="52"/>
    </row>
    <row r="53" spans="1:5" x14ac:dyDescent="0.25">
      <c r="A53" s="51" t="s">
        <v>167</v>
      </c>
      <c r="B53" s="57"/>
      <c r="C53" s="57"/>
      <c r="D53" s="57"/>
      <c r="E53" s="52"/>
    </row>
    <row r="54" spans="1:5" x14ac:dyDescent="0.25">
      <c r="A54" s="1" t="s">
        <v>169</v>
      </c>
      <c r="B54" s="10" t="s">
        <v>168</v>
      </c>
      <c r="C54" s="18">
        <f>SUM(C55:C56)</f>
        <v>3018.78</v>
      </c>
      <c r="D54" s="18">
        <f>C54*0.19</f>
        <v>573.56820000000005</v>
      </c>
      <c r="E54" s="18">
        <f>C54+D54</f>
        <v>3592.3482000000004</v>
      </c>
    </row>
    <row r="55" spans="1:5" ht="30" x14ac:dyDescent="0.25">
      <c r="A55" s="1"/>
      <c r="B55" s="11" t="s">
        <v>170</v>
      </c>
      <c r="C55" s="16">
        <v>3018.78</v>
      </c>
      <c r="D55" s="19">
        <f>C55*0.19</f>
        <v>573.56820000000005</v>
      </c>
      <c r="E55" s="19">
        <f>C55+D55</f>
        <v>3592.3482000000004</v>
      </c>
    </row>
    <row r="56" spans="1:5" x14ac:dyDescent="0.2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 x14ac:dyDescent="0.25">
      <c r="A57" s="1" t="s">
        <v>173</v>
      </c>
      <c r="B57" s="13" t="s">
        <v>172</v>
      </c>
      <c r="C57" s="18">
        <f>SUM(C58:C62)</f>
        <v>3353.86</v>
      </c>
      <c r="D57" s="18">
        <v>8</v>
      </c>
      <c r="E57" s="18">
        <f>C57+D57</f>
        <v>3361.86</v>
      </c>
    </row>
    <row r="58" spans="1:5" ht="30" x14ac:dyDescent="0.25">
      <c r="A58" s="1"/>
      <c r="B58" s="11" t="s">
        <v>174</v>
      </c>
      <c r="C58" s="19">
        <v>0</v>
      </c>
      <c r="D58" s="19"/>
      <c r="E58" s="19"/>
    </row>
    <row r="59" spans="1:5" ht="30" x14ac:dyDescent="0.25">
      <c r="A59" s="1"/>
      <c r="B59" s="11" t="s">
        <v>195</v>
      </c>
      <c r="C59" s="19">
        <v>1524.48</v>
      </c>
      <c r="D59" s="19"/>
      <c r="E59" s="19">
        <f>C59</f>
        <v>1524.48</v>
      </c>
    </row>
    <row r="60" spans="1:5" ht="45" x14ac:dyDescent="0.25">
      <c r="A60" s="1"/>
      <c r="B60" s="11" t="s">
        <v>196</v>
      </c>
      <c r="C60" s="19">
        <v>304.89999999999998</v>
      </c>
      <c r="D60" s="19"/>
      <c r="E60" s="19">
        <f>C60</f>
        <v>304.89999999999998</v>
      </c>
    </row>
    <row r="61" spans="1:5" x14ac:dyDescent="0.25">
      <c r="A61" s="1"/>
      <c r="B61" s="11" t="s">
        <v>197</v>
      </c>
      <c r="C61" s="19">
        <v>1524.48</v>
      </c>
      <c r="D61" s="19"/>
      <c r="E61" s="19">
        <f>C61</f>
        <v>1524.48</v>
      </c>
    </row>
    <row r="62" spans="1:5" ht="30" x14ac:dyDescent="0.25">
      <c r="A62" s="1"/>
      <c r="B62" s="11" t="s">
        <v>198</v>
      </c>
      <c r="C62" s="27">
        <v>0</v>
      </c>
      <c r="D62" s="19">
        <v>8</v>
      </c>
      <c r="E62" s="19">
        <f>C62+D62</f>
        <v>8</v>
      </c>
    </row>
    <row r="63" spans="1:5" x14ac:dyDescent="0.25">
      <c r="A63" s="1" t="s">
        <v>175</v>
      </c>
      <c r="B63" s="9" t="s">
        <v>199</v>
      </c>
      <c r="C63" s="18">
        <v>42952.78</v>
      </c>
      <c r="D63" s="18">
        <f>C63*0.19</f>
        <v>8161.0281999999997</v>
      </c>
      <c r="E63" s="19">
        <f>C63+D63</f>
        <v>51113.808199999999</v>
      </c>
    </row>
    <row r="64" spans="1:5" x14ac:dyDescent="0.2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 x14ac:dyDescent="0.25">
      <c r="A65" s="58" t="s">
        <v>178</v>
      </c>
      <c r="B65" s="58"/>
      <c r="C65" s="17">
        <f>C54+C57+C63+C64</f>
        <v>49325.42</v>
      </c>
      <c r="D65" s="17">
        <f>D63+D57+D54</f>
        <v>8742.5964000000004</v>
      </c>
      <c r="E65" s="17">
        <f>C65+D65</f>
        <v>58068.0164</v>
      </c>
    </row>
    <row r="66" spans="1:13" x14ac:dyDescent="0.25">
      <c r="A66" s="51" t="s">
        <v>179</v>
      </c>
      <c r="B66" s="57"/>
      <c r="C66" s="57"/>
      <c r="D66" s="57"/>
      <c r="E66" s="52"/>
    </row>
    <row r="67" spans="1:13" x14ac:dyDescent="0.25">
      <c r="A67" s="59" t="s">
        <v>180</v>
      </c>
      <c r="B67" s="57"/>
      <c r="C67" s="57"/>
      <c r="D67" s="57"/>
      <c r="E67" s="52"/>
      <c r="H67">
        <f>63057.95+238819.86</f>
        <v>301877.81</v>
      </c>
    </row>
    <row r="68" spans="1:13" ht="16.5" x14ac:dyDescent="0.3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I68" s="24">
        <v>63057.95</v>
      </c>
      <c r="J68" s="24">
        <f>I68+I72</f>
        <v>301877.81</v>
      </c>
      <c r="M68" s="28">
        <v>75038.960000000006</v>
      </c>
    </row>
    <row r="69" spans="1:13" ht="16.5" x14ac:dyDescent="0.3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I69" s="24">
        <v>238819.86</v>
      </c>
      <c r="J69" t="s">
        <v>201</v>
      </c>
      <c r="M69" s="28">
        <v>184027.09</v>
      </c>
    </row>
    <row r="70" spans="1:13" ht="16.5" x14ac:dyDescent="0.3">
      <c r="A70" s="55" t="s">
        <v>185</v>
      </c>
      <c r="B70" s="56"/>
      <c r="C70" s="17">
        <f>SUM(C68:C69)</f>
        <v>0</v>
      </c>
      <c r="D70" s="17">
        <f>C70*0.19</f>
        <v>0</v>
      </c>
      <c r="E70" s="17">
        <f>C70+D70</f>
        <v>0</v>
      </c>
      <c r="I70" s="24">
        <v>154644.60999999999</v>
      </c>
      <c r="M70" s="28">
        <v>100168.54</v>
      </c>
    </row>
    <row r="71" spans="1:13" x14ac:dyDescent="0.25">
      <c r="A71" s="49" t="s">
        <v>186</v>
      </c>
      <c r="B71" s="50"/>
      <c r="C71" s="20">
        <f>C70+C65+C51+C38+C12+C9</f>
        <v>483853.23</v>
      </c>
      <c r="D71" s="20">
        <f>D65+D51+D38+D12+D9</f>
        <v>91302.880300000004</v>
      </c>
      <c r="E71" s="20">
        <f>C71+D71</f>
        <v>575156.11029999994</v>
      </c>
      <c r="I71" s="24">
        <v>84175.25</v>
      </c>
      <c r="M71" s="24">
        <f>SUM(M68:M70)</f>
        <v>359234.58999999997</v>
      </c>
    </row>
    <row r="72" spans="1:13" x14ac:dyDescent="0.25">
      <c r="A72" s="51" t="s">
        <v>187</v>
      </c>
      <c r="B72" s="52"/>
      <c r="C72" s="16"/>
      <c r="D72" s="16"/>
      <c r="E72" s="16"/>
      <c r="I72" s="24">
        <f>SUM(I70:I71)</f>
        <v>238819.86</v>
      </c>
      <c r="M72" s="24">
        <f>M71+3592.35</f>
        <v>362826.93999999994</v>
      </c>
    </row>
    <row r="73" spans="1:13" x14ac:dyDescent="0.25">
      <c r="A73" s="53" t="s">
        <v>188</v>
      </c>
      <c r="B73" s="54"/>
      <c r="C73" s="25">
        <f>C6+C7+C8+C12+C41+C42+C55</f>
        <v>304896.59000000003</v>
      </c>
      <c r="D73" s="25">
        <f>C73*0.19</f>
        <v>57930.352100000004</v>
      </c>
      <c r="E73" s="25">
        <f>C73+D73</f>
        <v>362826.94210000004</v>
      </c>
      <c r="I73" s="24" t="s">
        <v>200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60" workbookViewId="0">
      <selection activeCell="A60" sqref="A1:IV65536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 x14ac:dyDescent="0.25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 x14ac:dyDescent="0.25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5" x14ac:dyDescent="0.25">
      <c r="A3" s="2" t="s">
        <v>105</v>
      </c>
      <c r="B3" s="6"/>
      <c r="C3" s="16"/>
      <c r="D3" s="16"/>
      <c r="E3" s="16"/>
    </row>
    <row r="4" spans="1:5" x14ac:dyDescent="0.25">
      <c r="A4" s="8" t="s">
        <v>106</v>
      </c>
      <c r="B4" s="9"/>
      <c r="C4" s="16"/>
      <c r="D4" s="16"/>
      <c r="E4" s="16"/>
    </row>
    <row r="5" spans="1:5" x14ac:dyDescent="0.25">
      <c r="A5" s="3" t="s">
        <v>108</v>
      </c>
      <c r="B5" s="6" t="s">
        <v>107</v>
      </c>
      <c r="C5" s="16">
        <v>0</v>
      </c>
      <c r="D5" s="16"/>
      <c r="E5" s="16"/>
    </row>
    <row r="6" spans="1:5" x14ac:dyDescent="0.2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 x14ac:dyDescent="0.25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 x14ac:dyDescent="0.25">
      <c r="A8" s="1" t="s">
        <v>111</v>
      </c>
      <c r="B8" s="5" t="s">
        <v>114</v>
      </c>
      <c r="C8" s="16">
        <v>0</v>
      </c>
      <c r="D8" s="16"/>
      <c r="E8" s="16"/>
    </row>
    <row r="9" spans="1:5" x14ac:dyDescent="0.25">
      <c r="A9" s="63" t="s">
        <v>115</v>
      </c>
      <c r="B9" s="56"/>
      <c r="C9" s="17">
        <f>SUM(C5:C8)</f>
        <v>0</v>
      </c>
      <c r="D9" s="17">
        <f>C9*0.19</f>
        <v>0</v>
      </c>
      <c r="E9" s="17">
        <f>C9+D9</f>
        <v>0</v>
      </c>
    </row>
    <row r="10" spans="1:5" x14ac:dyDescent="0.25">
      <c r="A10" s="51" t="s">
        <v>116</v>
      </c>
      <c r="B10" s="57"/>
      <c r="C10" s="57"/>
      <c r="D10" s="57"/>
      <c r="E10" s="52"/>
    </row>
    <row r="11" spans="1:5" x14ac:dyDescent="0.25">
      <c r="A11" s="51" t="s">
        <v>117</v>
      </c>
      <c r="B11" s="57"/>
      <c r="C11" s="57"/>
      <c r="D11" s="57"/>
      <c r="E11" s="52"/>
    </row>
    <row r="12" spans="1:5" x14ac:dyDescent="0.25">
      <c r="A12" s="63" t="s">
        <v>118</v>
      </c>
      <c r="B12" s="56"/>
      <c r="C12" s="17">
        <v>0</v>
      </c>
      <c r="D12" s="17">
        <f>C12*0.19</f>
        <v>0</v>
      </c>
      <c r="E12" s="17">
        <f>C12+D12</f>
        <v>0</v>
      </c>
    </row>
    <row r="13" spans="1:5" x14ac:dyDescent="0.25">
      <c r="A13" s="51" t="s">
        <v>119</v>
      </c>
      <c r="B13" s="57"/>
      <c r="C13" s="57"/>
      <c r="D13" s="57"/>
      <c r="E13" s="52"/>
    </row>
    <row r="14" spans="1:5" x14ac:dyDescent="0.25">
      <c r="A14" s="51" t="s">
        <v>124</v>
      </c>
      <c r="B14" s="57"/>
      <c r="C14" s="57"/>
      <c r="D14" s="57"/>
      <c r="E14" s="52"/>
    </row>
    <row r="15" spans="1:5" x14ac:dyDescent="0.2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 x14ac:dyDescent="0.2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 x14ac:dyDescent="0.2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 x14ac:dyDescent="0.2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 x14ac:dyDescent="0.25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 x14ac:dyDescent="0.25">
      <c r="A20" s="1" t="s">
        <v>128</v>
      </c>
      <c r="B20" s="13" t="s">
        <v>131</v>
      </c>
      <c r="C20" s="18">
        <v>12000</v>
      </c>
      <c r="D20" s="18">
        <f t="shared" si="0"/>
        <v>2280</v>
      </c>
      <c r="E20" s="18">
        <f t="shared" si="1"/>
        <v>14280</v>
      </c>
    </row>
    <row r="21" spans="1:5" ht="30" x14ac:dyDescent="0.25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 x14ac:dyDescent="0.25">
      <c r="A22" s="1" t="s">
        <v>130</v>
      </c>
      <c r="B22" s="10" t="s">
        <v>133</v>
      </c>
      <c r="C22" s="18">
        <f>SUM(C23:C28)</f>
        <v>50943</v>
      </c>
      <c r="D22" s="18">
        <f>C22*0.19</f>
        <v>9679.17</v>
      </c>
      <c r="E22" s="18">
        <f>D22+C22</f>
        <v>60622.17</v>
      </c>
    </row>
    <row r="23" spans="1:5" x14ac:dyDescent="0.2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 x14ac:dyDescent="0.2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 x14ac:dyDescent="0.25">
      <c r="A25" s="1"/>
      <c r="B25" s="11" t="s">
        <v>136</v>
      </c>
      <c r="C25" s="16">
        <v>0</v>
      </c>
      <c r="D25" s="16">
        <f t="shared" si="0"/>
        <v>0</v>
      </c>
      <c r="E25" s="16">
        <f t="shared" si="2"/>
        <v>0</v>
      </c>
    </row>
    <row r="26" spans="1:5" ht="45" x14ac:dyDescent="0.25">
      <c r="A26" s="1"/>
      <c r="B26" s="11" t="s">
        <v>137</v>
      </c>
      <c r="C26" s="16">
        <v>5900</v>
      </c>
      <c r="D26" s="16">
        <f t="shared" si="0"/>
        <v>1121</v>
      </c>
      <c r="E26" s="16">
        <f t="shared" si="2"/>
        <v>7021</v>
      </c>
    </row>
    <row r="27" spans="1:5" ht="30" x14ac:dyDescent="0.25">
      <c r="A27" s="1"/>
      <c r="B27" s="11" t="s">
        <v>138</v>
      </c>
      <c r="C27" s="16">
        <v>4300</v>
      </c>
      <c r="D27" s="16">
        <v>900</v>
      </c>
      <c r="E27" s="16">
        <f t="shared" si="2"/>
        <v>5200</v>
      </c>
    </row>
    <row r="28" spans="1:5" x14ac:dyDescent="0.25">
      <c r="A28" s="1"/>
      <c r="B28" s="9" t="s">
        <v>139</v>
      </c>
      <c r="C28" s="16">
        <v>40743</v>
      </c>
      <c r="D28" s="16">
        <f t="shared" si="0"/>
        <v>7741.17</v>
      </c>
      <c r="E28" s="16">
        <f t="shared" si="2"/>
        <v>48484.17</v>
      </c>
    </row>
    <row r="29" spans="1:5" x14ac:dyDescent="0.2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 x14ac:dyDescent="0.2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 x14ac:dyDescent="0.25">
      <c r="A31" s="1"/>
      <c r="B31" s="11" t="s">
        <v>145</v>
      </c>
      <c r="C31" s="16">
        <v>0</v>
      </c>
      <c r="D31" s="16"/>
      <c r="E31" s="16"/>
    </row>
    <row r="32" spans="1:5" x14ac:dyDescent="0.25">
      <c r="A32" s="1"/>
      <c r="B32" s="9" t="s">
        <v>146</v>
      </c>
      <c r="C32" s="16">
        <v>0</v>
      </c>
      <c r="D32" s="16"/>
      <c r="E32" s="16"/>
    </row>
    <row r="33" spans="1:7" x14ac:dyDescent="0.25">
      <c r="A33" s="12" t="s">
        <v>143</v>
      </c>
      <c r="B33" s="13" t="s">
        <v>147</v>
      </c>
      <c r="C33" s="18">
        <f>C34+C37</f>
        <v>6720</v>
      </c>
      <c r="D33" s="18">
        <f>C33*0.19</f>
        <v>1276.8</v>
      </c>
      <c r="E33" s="18">
        <f t="shared" ref="E33:E38" si="3">C33+D33</f>
        <v>7996.8</v>
      </c>
    </row>
    <row r="34" spans="1:7" x14ac:dyDescent="0.25">
      <c r="A34" s="1"/>
      <c r="B34" s="9" t="s">
        <v>190</v>
      </c>
      <c r="C34" s="23">
        <f>SUM(C35:C36)</f>
        <v>2000</v>
      </c>
      <c r="D34" s="23">
        <f>C34*0.19</f>
        <v>380</v>
      </c>
      <c r="E34" s="18">
        <f t="shared" si="3"/>
        <v>2380</v>
      </c>
    </row>
    <row r="35" spans="1:7" x14ac:dyDescent="0.25">
      <c r="A35" s="1"/>
      <c r="B35" s="9" t="s">
        <v>148</v>
      </c>
      <c r="C35" s="16">
        <v>1000</v>
      </c>
      <c r="D35" s="23">
        <f>C35*0.19</f>
        <v>190</v>
      </c>
      <c r="E35" s="18">
        <f t="shared" si="3"/>
        <v>1190</v>
      </c>
    </row>
    <row r="36" spans="1:7" ht="45" x14ac:dyDescent="0.25">
      <c r="A36" s="1"/>
      <c r="B36" s="11" t="s">
        <v>149</v>
      </c>
      <c r="C36" s="16">
        <v>1000</v>
      </c>
      <c r="D36" s="23">
        <f>C36*0.19</f>
        <v>190</v>
      </c>
      <c r="E36" s="18">
        <f t="shared" si="3"/>
        <v>1190</v>
      </c>
    </row>
    <row r="37" spans="1:7" x14ac:dyDescent="0.25">
      <c r="A37" s="1"/>
      <c r="B37" s="9" t="s">
        <v>150</v>
      </c>
      <c r="C37" s="23">
        <v>4720</v>
      </c>
      <c r="D37" s="23">
        <f>C37*0.19</f>
        <v>896.8</v>
      </c>
      <c r="E37" s="18">
        <f t="shared" si="3"/>
        <v>5616.8</v>
      </c>
    </row>
    <row r="38" spans="1:7" x14ac:dyDescent="0.25">
      <c r="A38" s="55" t="s">
        <v>151</v>
      </c>
      <c r="B38" s="56"/>
      <c r="C38" s="17">
        <f>C33+C30+C29+C22+C20+C19+C15</f>
        <v>69663</v>
      </c>
      <c r="D38" s="17">
        <f>D33+D22+D20+D19</f>
        <v>13235.97</v>
      </c>
      <c r="E38" s="17">
        <f t="shared" si="3"/>
        <v>82898.97</v>
      </c>
      <c r="G38" s="24"/>
    </row>
    <row r="39" spans="1:7" x14ac:dyDescent="0.25">
      <c r="A39" s="51" t="s">
        <v>152</v>
      </c>
      <c r="B39" s="57"/>
      <c r="C39" s="57"/>
      <c r="D39" s="57"/>
      <c r="E39" s="52"/>
    </row>
    <row r="40" spans="1:7" x14ac:dyDescent="0.25">
      <c r="A40" s="60" t="s">
        <v>189</v>
      </c>
      <c r="B40" s="61"/>
      <c r="C40" s="61"/>
      <c r="D40" s="61"/>
      <c r="E40" s="62"/>
    </row>
    <row r="41" spans="1:7" x14ac:dyDescent="0.25">
      <c r="A41" s="1" t="s">
        <v>154</v>
      </c>
      <c r="B41" s="14" t="s">
        <v>153</v>
      </c>
      <c r="C41" s="18">
        <v>405425.64</v>
      </c>
      <c r="D41" s="18">
        <f>C41*0.19</f>
        <v>77030.871599999999</v>
      </c>
      <c r="E41" s="18">
        <f>C41+D41</f>
        <v>482456.51160000003</v>
      </c>
    </row>
    <row r="42" spans="1:7" ht="30" x14ac:dyDescent="0.25">
      <c r="A42" s="1" t="s">
        <v>156</v>
      </c>
      <c r="B42" s="11" t="s">
        <v>155</v>
      </c>
      <c r="C42" s="18">
        <v>16738.64</v>
      </c>
      <c r="D42" s="18">
        <f t="shared" ref="D42:D51" si="4">C42*0.19</f>
        <v>3180.3415999999997</v>
      </c>
      <c r="E42" s="18">
        <f t="shared" ref="E42:E51" si="5">C42+D42</f>
        <v>19918.981599999999</v>
      </c>
    </row>
    <row r="43" spans="1:7" ht="30" x14ac:dyDescent="0.25">
      <c r="A43" s="1" t="s">
        <v>157</v>
      </c>
      <c r="B43" s="11" t="s">
        <v>158</v>
      </c>
      <c r="C43" s="18">
        <v>25900</v>
      </c>
      <c r="D43" s="18">
        <f t="shared" si="4"/>
        <v>4921</v>
      </c>
      <c r="E43" s="18">
        <f t="shared" si="5"/>
        <v>30821</v>
      </c>
    </row>
    <row r="44" spans="1:7" ht="45" x14ac:dyDescent="0.2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7" x14ac:dyDescent="0.25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7" ht="0.75" customHeight="1" x14ac:dyDescent="0.25">
      <c r="A46" s="1"/>
      <c r="B46" s="26" t="s">
        <v>191</v>
      </c>
      <c r="C46" s="16"/>
      <c r="D46" s="16"/>
      <c r="E46" s="16"/>
    </row>
    <row r="47" spans="1:7" hidden="1" x14ac:dyDescent="0.25">
      <c r="A47" s="1"/>
      <c r="B47" s="26" t="s">
        <v>192</v>
      </c>
      <c r="C47" s="16"/>
      <c r="D47" s="16"/>
      <c r="E47" s="16"/>
    </row>
    <row r="48" spans="1:7" hidden="1" x14ac:dyDescent="0.25">
      <c r="A48" s="1"/>
      <c r="B48" s="26" t="s">
        <v>193</v>
      </c>
      <c r="C48" s="16"/>
      <c r="D48" s="16"/>
      <c r="E48" s="16"/>
    </row>
    <row r="49" spans="1:5" hidden="1" x14ac:dyDescent="0.25">
      <c r="A49" s="1"/>
      <c r="B49" s="26" t="s">
        <v>194</v>
      </c>
      <c r="C49" s="16"/>
      <c r="D49" s="16"/>
      <c r="E49" s="16"/>
    </row>
    <row r="50" spans="1:5" hidden="1" x14ac:dyDescent="0.25">
      <c r="A50" s="1" t="s">
        <v>162</v>
      </c>
      <c r="B50" s="9" t="s">
        <v>164</v>
      </c>
      <c r="C50" s="16"/>
      <c r="D50" s="16"/>
      <c r="E50" s="16"/>
    </row>
    <row r="51" spans="1:5" x14ac:dyDescent="0.25">
      <c r="A51" s="55" t="s">
        <v>165</v>
      </c>
      <c r="B51" s="56"/>
      <c r="C51" s="17">
        <f>C41+C42+C43+C44+C45</f>
        <v>448064.28</v>
      </c>
      <c r="D51" s="17">
        <f t="shared" si="4"/>
        <v>85132.213200000013</v>
      </c>
      <c r="E51" s="17">
        <f t="shared" si="5"/>
        <v>533196.49320000003</v>
      </c>
    </row>
    <row r="52" spans="1:5" x14ac:dyDescent="0.25">
      <c r="A52" s="51" t="s">
        <v>166</v>
      </c>
      <c r="B52" s="57"/>
      <c r="C52" s="57"/>
      <c r="D52" s="57"/>
      <c r="E52" s="52"/>
    </row>
    <row r="53" spans="1:5" x14ac:dyDescent="0.25">
      <c r="A53" s="51" t="s">
        <v>167</v>
      </c>
      <c r="B53" s="57"/>
      <c r="C53" s="57"/>
      <c r="D53" s="57"/>
      <c r="E53" s="52"/>
    </row>
    <row r="54" spans="1:5" x14ac:dyDescent="0.25">
      <c r="A54" s="1" t="s">
        <v>169</v>
      </c>
      <c r="B54" s="10" t="s">
        <v>168</v>
      </c>
      <c r="C54" s="18">
        <f>SUM(C55:C56)</f>
        <v>0</v>
      </c>
      <c r="D54" s="18">
        <f>C54*0.19</f>
        <v>0</v>
      </c>
      <c r="E54" s="18">
        <f>C54+D54</f>
        <v>0</v>
      </c>
    </row>
    <row r="55" spans="1:5" ht="30" x14ac:dyDescent="0.25">
      <c r="A55" s="1"/>
      <c r="B55" s="11" t="s">
        <v>170</v>
      </c>
      <c r="C55" s="16">
        <v>0</v>
      </c>
      <c r="D55" s="19">
        <f>C55*0.19</f>
        <v>0</v>
      </c>
      <c r="E55" s="19">
        <f>C55+D55</f>
        <v>0</v>
      </c>
    </row>
    <row r="56" spans="1:5" x14ac:dyDescent="0.2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 x14ac:dyDescent="0.25">
      <c r="A57" s="1" t="s">
        <v>173</v>
      </c>
      <c r="B57" s="13" t="s">
        <v>172</v>
      </c>
      <c r="C57" s="18">
        <f>SUM(C58:C62)</f>
        <v>5711.5300000000007</v>
      </c>
      <c r="D57" s="18">
        <v>8</v>
      </c>
      <c r="E57" s="18">
        <f>C57+D57</f>
        <v>5719.5300000000007</v>
      </c>
    </row>
    <row r="58" spans="1:5" ht="30" x14ac:dyDescent="0.25">
      <c r="A58" s="1"/>
      <c r="B58" s="11" t="s">
        <v>174</v>
      </c>
      <c r="C58" s="19">
        <v>0</v>
      </c>
      <c r="D58" s="19"/>
      <c r="E58" s="19"/>
    </row>
    <row r="59" spans="1:5" ht="30" x14ac:dyDescent="0.25">
      <c r="A59" s="1"/>
      <c r="B59" s="11" t="s">
        <v>195</v>
      </c>
      <c r="C59" s="19">
        <v>2110.8200000000002</v>
      </c>
      <c r="D59" s="19"/>
      <c r="E59" s="19">
        <f>C59</f>
        <v>2110.8200000000002</v>
      </c>
    </row>
    <row r="60" spans="1:5" ht="45" x14ac:dyDescent="0.25">
      <c r="A60" s="1"/>
      <c r="B60" s="11" t="s">
        <v>196</v>
      </c>
      <c r="C60" s="19">
        <v>422.16</v>
      </c>
      <c r="D60" s="19"/>
      <c r="E60" s="19">
        <f>C60</f>
        <v>422.16</v>
      </c>
    </row>
    <row r="61" spans="1:5" x14ac:dyDescent="0.25">
      <c r="A61" s="1"/>
      <c r="B61" s="11" t="s">
        <v>197</v>
      </c>
      <c r="C61" s="19">
        <v>2110.8200000000002</v>
      </c>
      <c r="D61" s="19"/>
      <c r="E61" s="19">
        <f>C61</f>
        <v>2110.8200000000002</v>
      </c>
    </row>
    <row r="62" spans="1:5" ht="30" x14ac:dyDescent="0.25">
      <c r="A62" s="1"/>
      <c r="B62" s="11" t="s">
        <v>198</v>
      </c>
      <c r="C62" s="27">
        <v>1067.73</v>
      </c>
      <c r="D62" s="19">
        <v>8</v>
      </c>
      <c r="E62" s="19">
        <f>C62+D62</f>
        <v>1075.73</v>
      </c>
    </row>
    <row r="63" spans="1:5" x14ac:dyDescent="0.25">
      <c r="A63" s="1" t="s">
        <v>175</v>
      </c>
      <c r="B63" s="9" t="s">
        <v>202</v>
      </c>
      <c r="C63" s="18">
        <v>50572.73</v>
      </c>
      <c r="D63" s="18">
        <f>C63*0.19</f>
        <v>9608.8187000000016</v>
      </c>
      <c r="E63" s="19">
        <f>C63+D63</f>
        <v>60181.548700000007</v>
      </c>
    </row>
    <row r="64" spans="1:5" x14ac:dyDescent="0.2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 x14ac:dyDescent="0.25">
      <c r="A65" s="58" t="s">
        <v>178</v>
      </c>
      <c r="B65" s="58"/>
      <c r="C65" s="17">
        <f>C54+C57+C63+C64</f>
        <v>56284.26</v>
      </c>
      <c r="D65" s="17">
        <f>D63+D57+D54</f>
        <v>9616.8187000000016</v>
      </c>
      <c r="E65" s="17">
        <f>C65+D65</f>
        <v>65901.078699999998</v>
      </c>
    </row>
    <row r="66" spans="1:13" x14ac:dyDescent="0.25">
      <c r="A66" s="51" t="s">
        <v>179</v>
      </c>
      <c r="B66" s="57"/>
      <c r="C66" s="57"/>
      <c r="D66" s="57"/>
      <c r="E66" s="52"/>
    </row>
    <row r="67" spans="1:13" x14ac:dyDescent="0.25">
      <c r="A67" s="59" t="s">
        <v>180</v>
      </c>
      <c r="B67" s="57"/>
      <c r="C67" s="57"/>
      <c r="D67" s="57"/>
      <c r="E67" s="52"/>
    </row>
    <row r="68" spans="1:13" ht="16.5" x14ac:dyDescent="0.3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 x14ac:dyDescent="0.3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 x14ac:dyDescent="0.3">
      <c r="A70" s="55" t="s">
        <v>185</v>
      </c>
      <c r="B70" s="56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 x14ac:dyDescent="0.25">
      <c r="A71" s="49" t="s">
        <v>186</v>
      </c>
      <c r="B71" s="50"/>
      <c r="C71" s="20">
        <f>C70+C65+C51+C38+C12+C9</f>
        <v>574011.54</v>
      </c>
      <c r="D71" s="20">
        <f>D65+D51+D38+D12+D9</f>
        <v>107985.00190000002</v>
      </c>
      <c r="E71" s="20">
        <f>C71+D71</f>
        <v>681996.54190000007</v>
      </c>
      <c r="M71" s="24"/>
    </row>
    <row r="72" spans="1:13" x14ac:dyDescent="0.25">
      <c r="A72" s="51" t="s">
        <v>187</v>
      </c>
      <c r="B72" s="52"/>
      <c r="C72" s="16"/>
      <c r="D72" s="16"/>
      <c r="E72" s="16"/>
      <c r="M72" s="24"/>
    </row>
    <row r="73" spans="1:13" x14ac:dyDescent="0.25">
      <c r="A73" s="53" t="s">
        <v>188</v>
      </c>
      <c r="B73" s="54"/>
      <c r="C73" s="25">
        <f>C6+C7+C8+C12+C41+C42+C55</f>
        <v>422164.28</v>
      </c>
      <c r="D73" s="25">
        <f>C73*0.19</f>
        <v>80211.213200000013</v>
      </c>
      <c r="E73" s="25">
        <f>C73+D73</f>
        <v>502375.49320000003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A40" workbookViewId="0">
      <selection activeCell="A40" sqref="A1:IV65536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1" spans="1:23" ht="45.75" customHeight="1" x14ac:dyDescent="0.25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23" x14ac:dyDescent="0.25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23" x14ac:dyDescent="0.25">
      <c r="A3" s="2" t="s">
        <v>105</v>
      </c>
      <c r="B3" s="6"/>
      <c r="C3" s="16"/>
      <c r="D3" s="16"/>
      <c r="E3" s="16"/>
    </row>
    <row r="4" spans="1:23" x14ac:dyDescent="0.25">
      <c r="A4" s="8" t="s">
        <v>106</v>
      </c>
      <c r="B4" s="9"/>
      <c r="C4" s="16"/>
      <c r="D4" s="16"/>
      <c r="E4" s="16"/>
    </row>
    <row r="5" spans="1:23" x14ac:dyDescent="0.25">
      <c r="A5" s="3" t="s">
        <v>108</v>
      </c>
      <c r="B5" s="6" t="s">
        <v>107</v>
      </c>
      <c r="C5" s="16">
        <v>0</v>
      </c>
      <c r="D5" s="16"/>
      <c r="E5" s="16"/>
    </row>
    <row r="6" spans="1:23" x14ac:dyDescent="0.25">
      <c r="A6" s="1" t="s">
        <v>109</v>
      </c>
      <c r="B6" s="6" t="s">
        <v>112</v>
      </c>
      <c r="C6" s="16">
        <v>5000</v>
      </c>
      <c r="D6" s="16">
        <f>C6*0.19</f>
        <v>950</v>
      </c>
      <c r="E6" s="16">
        <f>C6+D6</f>
        <v>5950</v>
      </c>
    </row>
    <row r="7" spans="1:23" ht="27.75" customHeight="1" x14ac:dyDescent="0.25">
      <c r="A7" s="1" t="s">
        <v>110</v>
      </c>
      <c r="B7" s="5" t="s">
        <v>113</v>
      </c>
      <c r="C7" s="16">
        <v>6000</v>
      </c>
      <c r="D7" s="16">
        <f>C7*0.19</f>
        <v>1140</v>
      </c>
      <c r="E7" s="16">
        <f>C7+D7</f>
        <v>7140</v>
      </c>
      <c r="N7" s="24" t="s">
        <v>203</v>
      </c>
    </row>
    <row r="8" spans="1:23" ht="28.5" customHeight="1" x14ac:dyDescent="0.25">
      <c r="A8" s="1" t="s">
        <v>111</v>
      </c>
      <c r="B8" s="5" t="s">
        <v>114</v>
      </c>
      <c r="C8" s="16">
        <v>0</v>
      </c>
      <c r="D8" s="16">
        <f>C8*0.19</f>
        <v>0</v>
      </c>
      <c r="E8" s="16"/>
    </row>
    <row r="9" spans="1:23" x14ac:dyDescent="0.25">
      <c r="A9" s="63" t="s">
        <v>115</v>
      </c>
      <c r="B9" s="56"/>
      <c r="C9" s="17">
        <f>SUM(C5:C8)</f>
        <v>11000</v>
      </c>
      <c r="D9" s="17">
        <f>C9*0.19</f>
        <v>2090</v>
      </c>
      <c r="E9" s="17">
        <f>C9+D9</f>
        <v>13090</v>
      </c>
      <c r="L9" s="24">
        <f>M9*1.19</f>
        <v>3998400</v>
      </c>
      <c r="M9" s="24">
        <f>SUM(M10:M15)</f>
        <v>3360000</v>
      </c>
      <c r="N9" s="24">
        <f>SUM(N10:N15)</f>
        <v>1680000</v>
      </c>
      <c r="O9" s="24">
        <v>15000</v>
      </c>
      <c r="P9" s="24">
        <v>35000</v>
      </c>
      <c r="Q9" s="24">
        <v>113375</v>
      </c>
      <c r="R9" s="24">
        <f>SUM(P9:Q9)</f>
        <v>148375</v>
      </c>
      <c r="S9" s="24">
        <f>N9+O9+R9</f>
        <v>1843375</v>
      </c>
      <c r="T9" s="24">
        <f>S9*1.19</f>
        <v>2193616.25</v>
      </c>
    </row>
    <row r="10" spans="1:23" x14ac:dyDescent="0.25">
      <c r="A10" s="51" t="s">
        <v>116</v>
      </c>
      <c r="B10" s="64"/>
      <c r="C10" s="64"/>
      <c r="D10" s="64"/>
      <c r="E10" s="65"/>
      <c r="L10" s="24">
        <f>N9*1.19</f>
        <v>1999200</v>
      </c>
      <c r="M10" s="24">
        <f t="shared" ref="M10:M15" si="0">N10*2</f>
        <v>2646000</v>
      </c>
      <c r="N10" s="24">
        <v>1323000</v>
      </c>
      <c r="S10">
        <f>S9*0.19</f>
        <v>350241.25</v>
      </c>
    </row>
    <row r="11" spans="1:23" x14ac:dyDescent="0.25">
      <c r="A11" s="51" t="s">
        <v>117</v>
      </c>
      <c r="B11" s="64"/>
      <c r="C11" s="64"/>
      <c r="D11" s="64"/>
      <c r="E11" s="65"/>
      <c r="L11" s="24">
        <f>296750*1.19</f>
        <v>353132.5</v>
      </c>
      <c r="M11" s="24">
        <f t="shared" si="0"/>
        <v>342000</v>
      </c>
      <c r="N11" s="24">
        <v>171000</v>
      </c>
    </row>
    <row r="12" spans="1:23" x14ac:dyDescent="0.25">
      <c r="A12" s="63" t="s">
        <v>118</v>
      </c>
      <c r="B12" s="56"/>
      <c r="C12" s="17">
        <v>50000</v>
      </c>
      <c r="D12" s="17">
        <f>C12*0.19</f>
        <v>9500</v>
      </c>
      <c r="E12" s="17">
        <f>C12+D12</f>
        <v>59500</v>
      </c>
      <c r="M12" s="24">
        <f t="shared" si="0"/>
        <v>106000</v>
      </c>
      <c r="N12" s="24">
        <v>53000</v>
      </c>
      <c r="Q12" s="24">
        <f>226750*0.19</f>
        <v>43082.5</v>
      </c>
    </row>
    <row r="13" spans="1:23" x14ac:dyDescent="0.25">
      <c r="A13" s="51" t="s">
        <v>119</v>
      </c>
      <c r="B13" s="64"/>
      <c r="C13" s="64"/>
      <c r="D13" s="64"/>
      <c r="E13" s="65"/>
      <c r="M13" s="24">
        <f t="shared" si="0"/>
        <v>140000</v>
      </c>
      <c r="N13" s="24">
        <v>70000</v>
      </c>
    </row>
    <row r="14" spans="1:23" x14ac:dyDescent="0.25">
      <c r="A14" s="51" t="s">
        <v>124</v>
      </c>
      <c r="B14" s="64"/>
      <c r="C14" s="64"/>
      <c r="D14" s="64"/>
      <c r="E14" s="65"/>
      <c r="J14">
        <f>N26*0.05%</f>
        <v>1843.375</v>
      </c>
      <c r="M14" s="24">
        <f t="shared" si="0"/>
        <v>96000</v>
      </c>
      <c r="N14" s="24">
        <v>48000</v>
      </c>
      <c r="S14" s="24">
        <f>M9+35700</f>
        <v>3395700</v>
      </c>
    </row>
    <row r="15" spans="1:23" x14ac:dyDescent="0.25">
      <c r="A15" s="1" t="s">
        <v>120</v>
      </c>
      <c r="B15" s="10" t="s">
        <v>121</v>
      </c>
      <c r="C15" s="18">
        <v>3000</v>
      </c>
      <c r="D15" s="18">
        <f t="shared" ref="D15:D30" si="1">C15*0.19</f>
        <v>570</v>
      </c>
      <c r="E15" s="18">
        <f>C15+D15</f>
        <v>3570</v>
      </c>
      <c r="M15" s="24">
        <f t="shared" si="0"/>
        <v>30000</v>
      </c>
      <c r="N15" s="24">
        <v>15000</v>
      </c>
      <c r="W15">
        <f>3781750*0.5%</f>
        <v>18908.75</v>
      </c>
    </row>
    <row r="16" spans="1:23" x14ac:dyDescent="0.25">
      <c r="A16" s="1"/>
      <c r="B16" s="9" t="s">
        <v>122</v>
      </c>
      <c r="C16" s="16">
        <v>3000</v>
      </c>
      <c r="D16" s="16">
        <f t="shared" si="1"/>
        <v>570</v>
      </c>
      <c r="E16" s="16">
        <f t="shared" ref="E16:E21" si="2">D16+C16</f>
        <v>3570</v>
      </c>
    </row>
    <row r="17" spans="1:22" x14ac:dyDescent="0.25">
      <c r="A17" s="1"/>
      <c r="B17" s="9" t="s">
        <v>123</v>
      </c>
      <c r="C17" s="16">
        <v>0</v>
      </c>
      <c r="D17" s="16">
        <f t="shared" si="1"/>
        <v>0</v>
      </c>
      <c r="E17" s="16">
        <f t="shared" si="2"/>
        <v>0</v>
      </c>
      <c r="I17" s="24">
        <f>(100000/3686750)*100</f>
        <v>2.7124160846273822</v>
      </c>
      <c r="N17" s="24" t="s">
        <v>204</v>
      </c>
    </row>
    <row r="18" spans="1:22" x14ac:dyDescent="0.25">
      <c r="A18" s="1"/>
      <c r="B18" s="9" t="s">
        <v>125</v>
      </c>
      <c r="C18" s="16">
        <v>0</v>
      </c>
      <c r="D18" s="16">
        <f t="shared" si="1"/>
        <v>0</v>
      </c>
      <c r="E18" s="16">
        <f t="shared" si="2"/>
        <v>0</v>
      </c>
      <c r="N18" s="24">
        <f>SUM(N19:N24)</f>
        <v>1680000</v>
      </c>
      <c r="O18" s="24">
        <v>15000</v>
      </c>
      <c r="P18" s="24">
        <v>35000</v>
      </c>
      <c r="Q18" s="24">
        <v>113375</v>
      </c>
      <c r="R18" s="24">
        <f>SUM(P18:Q18)</f>
        <v>148375</v>
      </c>
      <c r="S18" s="24">
        <f>N18+O18+R18</f>
        <v>1843375</v>
      </c>
      <c r="T18" s="24">
        <f>S18*1.19</f>
        <v>2193616.25</v>
      </c>
      <c r="V18" s="24">
        <f>30000*0.19</f>
        <v>5700</v>
      </c>
    </row>
    <row r="19" spans="1:22" ht="30" x14ac:dyDescent="0.25">
      <c r="A19" s="3" t="s">
        <v>127</v>
      </c>
      <c r="B19" s="22" t="s">
        <v>126</v>
      </c>
      <c r="C19" s="18">
        <v>3150</v>
      </c>
      <c r="D19" s="18">
        <f t="shared" si="1"/>
        <v>598.5</v>
      </c>
      <c r="E19" s="18">
        <f t="shared" si="2"/>
        <v>3748.5</v>
      </c>
      <c r="N19" s="24">
        <v>1323000</v>
      </c>
    </row>
    <row r="20" spans="1:22" x14ac:dyDescent="0.25">
      <c r="A20" s="1" t="s">
        <v>128</v>
      </c>
      <c r="B20" s="13" t="s">
        <v>131</v>
      </c>
      <c r="C20" s="18">
        <v>0</v>
      </c>
      <c r="D20" s="18">
        <f t="shared" si="1"/>
        <v>0</v>
      </c>
      <c r="E20" s="18">
        <f t="shared" si="2"/>
        <v>0</v>
      </c>
      <c r="K20">
        <f>0.5/100</f>
        <v>5.0000000000000001E-3</v>
      </c>
      <c r="N20" s="24">
        <v>171000</v>
      </c>
      <c r="Q20" s="24">
        <f>L9+35700+353132.5</f>
        <v>4387232.5</v>
      </c>
      <c r="S20">
        <f>638400+5700+56382.5</f>
        <v>700482.5</v>
      </c>
    </row>
    <row r="21" spans="1:22" ht="30" x14ac:dyDescent="0.25">
      <c r="A21" s="1" t="s">
        <v>129</v>
      </c>
      <c r="B21" s="22" t="s">
        <v>132</v>
      </c>
      <c r="C21" s="18">
        <v>2000</v>
      </c>
      <c r="D21" s="18">
        <f t="shared" si="1"/>
        <v>380</v>
      </c>
      <c r="E21" s="18">
        <f t="shared" si="2"/>
        <v>2380</v>
      </c>
      <c r="K21">
        <f>K20*N26</f>
        <v>18433.75</v>
      </c>
      <c r="N21" s="24">
        <v>53000</v>
      </c>
      <c r="S21">
        <f>T21*1.19</f>
        <v>83300</v>
      </c>
      <c r="T21" s="24">
        <f>SUM(T22:T24)</f>
        <v>70000</v>
      </c>
      <c r="U21" s="24">
        <f>T21*0.19</f>
        <v>13300</v>
      </c>
    </row>
    <row r="22" spans="1:22" x14ac:dyDescent="0.25">
      <c r="A22" s="1" t="s">
        <v>130</v>
      </c>
      <c r="B22" s="10" t="s">
        <v>133</v>
      </c>
      <c r="C22" s="18">
        <f>SUM(C23:C28)</f>
        <v>112210.08</v>
      </c>
      <c r="D22" s="18">
        <f>C22*0.19</f>
        <v>21319.915199999999</v>
      </c>
      <c r="E22" s="18">
        <f>D22+C22</f>
        <v>133529.9952</v>
      </c>
      <c r="N22" s="24">
        <v>70000</v>
      </c>
      <c r="T22" s="24">
        <v>43000</v>
      </c>
      <c r="U22" s="24">
        <f t="shared" ref="U22:U27" si="3">T22*0.19</f>
        <v>8170</v>
      </c>
    </row>
    <row r="23" spans="1:22" x14ac:dyDescent="0.25">
      <c r="A23" s="1"/>
      <c r="B23" s="9" t="s">
        <v>134</v>
      </c>
      <c r="C23" s="16">
        <v>0</v>
      </c>
      <c r="D23" s="16">
        <f t="shared" si="1"/>
        <v>0</v>
      </c>
      <c r="E23" s="16">
        <f>D23+C23</f>
        <v>0</v>
      </c>
      <c r="N23" s="24">
        <v>48000</v>
      </c>
      <c r="T23" s="24">
        <v>20000</v>
      </c>
      <c r="U23" s="24">
        <f t="shared" si="3"/>
        <v>3800</v>
      </c>
    </row>
    <row r="24" spans="1:22" x14ac:dyDescent="0.25">
      <c r="A24" s="1"/>
      <c r="B24" s="9" t="s">
        <v>135</v>
      </c>
      <c r="C24" s="16">
        <v>0</v>
      </c>
      <c r="D24" s="16">
        <f t="shared" si="1"/>
        <v>0</v>
      </c>
      <c r="E24" s="16">
        <f t="shared" ref="E24:E32" si="4">D24+C24</f>
        <v>0</v>
      </c>
      <c r="N24" s="24">
        <v>15000</v>
      </c>
      <c r="T24" s="24">
        <v>7000</v>
      </c>
      <c r="U24" s="24">
        <f t="shared" si="3"/>
        <v>1330</v>
      </c>
    </row>
    <row r="25" spans="1:22" ht="30" x14ac:dyDescent="0.25">
      <c r="A25" s="1"/>
      <c r="B25" s="11" t="s">
        <v>136</v>
      </c>
      <c r="C25" s="16">
        <v>25210.080000000002</v>
      </c>
      <c r="D25" s="16">
        <f t="shared" si="1"/>
        <v>4789.9152000000004</v>
      </c>
      <c r="E25" s="16">
        <f t="shared" si="4"/>
        <v>29999.995200000001</v>
      </c>
      <c r="K25" s="24">
        <f>N26-26750-100000</f>
        <v>3560000</v>
      </c>
      <c r="N25" s="24">
        <f>35000*1.19</f>
        <v>41650</v>
      </c>
      <c r="R25" s="24">
        <f>T25+S25</f>
        <v>353132.5</v>
      </c>
      <c r="S25">
        <f>T25*0.19</f>
        <v>56382.5</v>
      </c>
      <c r="T25" s="24">
        <f>T21+226750</f>
        <v>296750</v>
      </c>
      <c r="U25" s="24">
        <f t="shared" si="3"/>
        <v>56382.5</v>
      </c>
      <c r="V25" s="24">
        <f>T25+U25</f>
        <v>353132.5</v>
      </c>
    </row>
    <row r="26" spans="1:22" ht="45" x14ac:dyDescent="0.25">
      <c r="A26" s="1"/>
      <c r="B26" s="11" t="s">
        <v>137</v>
      </c>
      <c r="C26" s="16">
        <v>15000</v>
      </c>
      <c r="D26" s="16">
        <f t="shared" si="1"/>
        <v>2850</v>
      </c>
      <c r="E26" s="16">
        <f t="shared" si="4"/>
        <v>17850</v>
      </c>
      <c r="K26">
        <f>K25*0.5%</f>
        <v>17800</v>
      </c>
      <c r="N26" s="24">
        <f>M9+T25+30000</f>
        <v>3686750</v>
      </c>
      <c r="O26" s="24">
        <f>N26*0.19</f>
        <v>700482.5</v>
      </c>
      <c r="P26" s="24">
        <f>N26+O26</f>
        <v>4387232.5</v>
      </c>
      <c r="T26" s="24">
        <f>3360000+30000</f>
        <v>3390000</v>
      </c>
      <c r="U26" s="24">
        <f t="shared" si="3"/>
        <v>644100</v>
      </c>
    </row>
    <row r="27" spans="1:22" ht="30" x14ac:dyDescent="0.25">
      <c r="A27" s="1"/>
      <c r="B27" s="11" t="s">
        <v>138</v>
      </c>
      <c r="C27" s="16">
        <v>9000</v>
      </c>
      <c r="D27" s="16">
        <f t="shared" si="1"/>
        <v>1710</v>
      </c>
      <c r="E27" s="16">
        <f t="shared" si="4"/>
        <v>10710</v>
      </c>
      <c r="N27" s="24">
        <f>3390000*0.05%</f>
        <v>1695</v>
      </c>
      <c r="T27" s="24">
        <f>T26*0.5%</f>
        <v>16950</v>
      </c>
      <c r="U27" s="24">
        <f t="shared" si="3"/>
        <v>3220.5</v>
      </c>
    </row>
    <row r="28" spans="1:22" x14ac:dyDescent="0.25">
      <c r="A28" s="1"/>
      <c r="B28" s="9" t="s">
        <v>139</v>
      </c>
      <c r="C28" s="16">
        <v>63000</v>
      </c>
      <c r="D28" s="16">
        <f t="shared" si="1"/>
        <v>11970</v>
      </c>
      <c r="E28" s="16">
        <f t="shared" si="4"/>
        <v>74970</v>
      </c>
    </row>
    <row r="29" spans="1:22" x14ac:dyDescent="0.25">
      <c r="A29" s="3" t="s">
        <v>141</v>
      </c>
      <c r="B29" s="10" t="s">
        <v>140</v>
      </c>
      <c r="C29" s="18">
        <v>0</v>
      </c>
      <c r="D29" s="18">
        <f t="shared" si="1"/>
        <v>0</v>
      </c>
      <c r="E29" s="18">
        <f t="shared" si="4"/>
        <v>0</v>
      </c>
    </row>
    <row r="30" spans="1:22" x14ac:dyDescent="0.25">
      <c r="A30" s="1" t="s">
        <v>142</v>
      </c>
      <c r="B30" s="10" t="s">
        <v>144</v>
      </c>
      <c r="C30" s="18">
        <v>60000</v>
      </c>
      <c r="D30" s="18">
        <f t="shared" si="1"/>
        <v>11400</v>
      </c>
      <c r="E30" s="18">
        <f t="shared" si="4"/>
        <v>71400</v>
      </c>
    </row>
    <row r="31" spans="1:22" ht="30" x14ac:dyDescent="0.25">
      <c r="A31" s="1"/>
      <c r="B31" s="11" t="s">
        <v>145</v>
      </c>
      <c r="C31" s="16">
        <v>30000</v>
      </c>
      <c r="D31" s="16">
        <f t="shared" ref="D31:D37" si="5">C31*0.19</f>
        <v>5700</v>
      </c>
      <c r="E31" s="16">
        <f t="shared" si="4"/>
        <v>35700</v>
      </c>
    </row>
    <row r="32" spans="1:22" x14ac:dyDescent="0.25">
      <c r="A32" s="1"/>
      <c r="B32" s="9" t="s">
        <v>146</v>
      </c>
      <c r="C32" s="16">
        <v>30000</v>
      </c>
      <c r="D32" s="16">
        <f t="shared" si="5"/>
        <v>5700</v>
      </c>
      <c r="E32" s="16">
        <f t="shared" si="4"/>
        <v>35700</v>
      </c>
      <c r="I32" s="24">
        <f>227610-C38</f>
        <v>-8.0000000016298145E-2</v>
      </c>
    </row>
    <row r="33" spans="1:9" x14ac:dyDescent="0.25">
      <c r="A33" s="12" t="s">
        <v>143</v>
      </c>
      <c r="B33" s="13" t="s">
        <v>147</v>
      </c>
      <c r="C33" s="18">
        <f>C34+C37</f>
        <v>47250</v>
      </c>
      <c r="D33" s="18">
        <f t="shared" si="5"/>
        <v>8977.5</v>
      </c>
      <c r="E33" s="18">
        <f t="shared" ref="E33:E38" si="6">C33+D33</f>
        <v>56227.5</v>
      </c>
    </row>
    <row r="34" spans="1:9" x14ac:dyDescent="0.25">
      <c r="A34" s="1"/>
      <c r="B34" s="9" t="s">
        <v>190</v>
      </c>
      <c r="C34" s="23">
        <f>SUM(C35:C36)</f>
        <v>9450</v>
      </c>
      <c r="D34" s="23">
        <f t="shared" si="5"/>
        <v>1795.5</v>
      </c>
      <c r="E34" s="18">
        <f t="shared" si="6"/>
        <v>11245.5</v>
      </c>
    </row>
    <row r="35" spans="1:9" x14ac:dyDescent="0.25">
      <c r="A35" s="1"/>
      <c r="B35" s="9" t="s">
        <v>148</v>
      </c>
      <c r="C35" s="16">
        <v>6300</v>
      </c>
      <c r="D35" s="23">
        <f t="shared" si="5"/>
        <v>1197</v>
      </c>
      <c r="E35" s="18">
        <f t="shared" si="6"/>
        <v>7497</v>
      </c>
    </row>
    <row r="36" spans="1:9" ht="45" x14ac:dyDescent="0.25">
      <c r="A36" s="1"/>
      <c r="B36" s="11" t="s">
        <v>149</v>
      </c>
      <c r="C36" s="16">
        <v>3150</v>
      </c>
      <c r="D36" s="23">
        <f t="shared" si="5"/>
        <v>598.5</v>
      </c>
      <c r="E36" s="18">
        <f t="shared" si="6"/>
        <v>3748.5</v>
      </c>
    </row>
    <row r="37" spans="1:9" x14ac:dyDescent="0.25">
      <c r="A37" s="1"/>
      <c r="B37" s="9" t="s">
        <v>150</v>
      </c>
      <c r="C37" s="23">
        <v>37800</v>
      </c>
      <c r="D37" s="23">
        <f t="shared" si="5"/>
        <v>7182</v>
      </c>
      <c r="E37" s="18">
        <f t="shared" si="6"/>
        <v>44982</v>
      </c>
      <c r="I37" s="24">
        <f>C38*0.19</f>
        <v>43245.915200000003</v>
      </c>
    </row>
    <row r="38" spans="1:9" x14ac:dyDescent="0.25">
      <c r="A38" s="55" t="s">
        <v>151</v>
      </c>
      <c r="B38" s="66"/>
      <c r="C38" s="17">
        <f>C33+C30+C29+C22+C21+C20+C19+C15</f>
        <v>227610.08000000002</v>
      </c>
      <c r="D38" s="17">
        <f>D33+D29+D30+D22+D21+D20+D19+D15</f>
        <v>43245.915200000003</v>
      </c>
      <c r="E38" s="17">
        <f t="shared" si="6"/>
        <v>270855.9952</v>
      </c>
      <c r="G38" s="24"/>
    </row>
    <row r="39" spans="1:9" x14ac:dyDescent="0.25">
      <c r="A39" s="51" t="s">
        <v>152</v>
      </c>
      <c r="B39" s="64"/>
      <c r="C39" s="64"/>
      <c r="D39" s="64"/>
      <c r="E39" s="65"/>
    </row>
    <row r="40" spans="1:9" x14ac:dyDescent="0.25">
      <c r="A40" s="60" t="s">
        <v>189</v>
      </c>
      <c r="B40" s="67"/>
      <c r="C40" s="67"/>
      <c r="D40" s="67"/>
      <c r="E40" s="68"/>
    </row>
    <row r="41" spans="1:9" x14ac:dyDescent="0.25">
      <c r="A41" s="1" t="s">
        <v>154</v>
      </c>
      <c r="B41" s="14" t="s">
        <v>153</v>
      </c>
      <c r="C41" s="18">
        <v>3360000</v>
      </c>
      <c r="D41" s="18">
        <f>C41*0.19</f>
        <v>638400</v>
      </c>
      <c r="E41" s="18">
        <f>C41+D41</f>
        <v>3998400</v>
      </c>
    </row>
    <row r="42" spans="1:9" ht="30" x14ac:dyDescent="0.25">
      <c r="A42" s="1" t="s">
        <v>156</v>
      </c>
      <c r="B42" s="11" t="s">
        <v>155</v>
      </c>
      <c r="C42" s="18">
        <v>30000</v>
      </c>
      <c r="D42" s="18">
        <f>C42*0.19</f>
        <v>5700</v>
      </c>
      <c r="E42" s="18">
        <f t="shared" ref="E42:E51" si="7">C42+D42</f>
        <v>35700</v>
      </c>
    </row>
    <row r="43" spans="1:9" ht="30" x14ac:dyDescent="0.25">
      <c r="A43" s="1" t="s">
        <v>157</v>
      </c>
      <c r="B43" s="11" t="s">
        <v>158</v>
      </c>
      <c r="C43" s="18">
        <v>70000</v>
      </c>
      <c r="D43" s="18">
        <f>C43*0.19</f>
        <v>13300</v>
      </c>
      <c r="E43" s="18">
        <f t="shared" si="7"/>
        <v>83300</v>
      </c>
    </row>
    <row r="44" spans="1:9" ht="45" x14ac:dyDescent="0.25">
      <c r="A44" s="1" t="s">
        <v>159</v>
      </c>
      <c r="B44" s="11" t="s">
        <v>160</v>
      </c>
      <c r="C44" s="18">
        <v>0</v>
      </c>
      <c r="D44" s="18">
        <f>C44*0.19</f>
        <v>0</v>
      </c>
      <c r="E44" s="18">
        <f t="shared" si="7"/>
        <v>0</v>
      </c>
    </row>
    <row r="45" spans="1:9" x14ac:dyDescent="0.25">
      <c r="A45" s="12" t="s">
        <v>161</v>
      </c>
      <c r="B45" s="13" t="s">
        <v>163</v>
      </c>
      <c r="C45" s="18">
        <v>226750</v>
      </c>
      <c r="D45" s="18">
        <f>C45*0.19</f>
        <v>43082.5</v>
      </c>
      <c r="E45" s="18">
        <f t="shared" si="7"/>
        <v>269832.5</v>
      </c>
    </row>
    <row r="46" spans="1:9" ht="0.75" customHeight="1" x14ac:dyDescent="0.25">
      <c r="A46" s="1"/>
      <c r="B46" s="26" t="s">
        <v>191</v>
      </c>
      <c r="C46" s="16"/>
      <c r="D46" s="16"/>
      <c r="E46" s="16"/>
    </row>
    <row r="47" spans="1:9" hidden="1" x14ac:dyDescent="0.25">
      <c r="A47" s="1"/>
      <c r="B47" s="26" t="s">
        <v>192</v>
      </c>
      <c r="C47" s="16"/>
      <c r="D47" s="16"/>
      <c r="E47" s="16"/>
    </row>
    <row r="48" spans="1:9" hidden="1" x14ac:dyDescent="0.25">
      <c r="A48" s="1"/>
      <c r="B48" s="26" t="s">
        <v>193</v>
      </c>
      <c r="C48" s="16"/>
      <c r="D48" s="16"/>
      <c r="E48" s="16"/>
    </row>
    <row r="49" spans="1:9" hidden="1" x14ac:dyDescent="0.25">
      <c r="A49" s="1"/>
      <c r="B49" s="26" t="s">
        <v>194</v>
      </c>
      <c r="C49" s="16"/>
      <c r="D49" s="16"/>
      <c r="E49" s="16"/>
    </row>
    <row r="50" spans="1:9" hidden="1" x14ac:dyDescent="0.25">
      <c r="A50" s="1" t="s">
        <v>162</v>
      </c>
      <c r="B50" s="9" t="s">
        <v>164</v>
      </c>
      <c r="C50" s="16"/>
      <c r="D50" s="16"/>
      <c r="E50" s="16"/>
    </row>
    <row r="51" spans="1:9" x14ac:dyDescent="0.25">
      <c r="A51" s="55" t="s">
        <v>165</v>
      </c>
      <c r="B51" s="66"/>
      <c r="C51" s="17">
        <f>SUM(C41:C50)</f>
        <v>3686750</v>
      </c>
      <c r="D51" s="17">
        <f>SUM(D41:D50)</f>
        <v>700482.5</v>
      </c>
      <c r="E51" s="17">
        <f t="shared" si="7"/>
        <v>4387232.5</v>
      </c>
    </row>
    <row r="52" spans="1:9" x14ac:dyDescent="0.25">
      <c r="A52" s="51" t="s">
        <v>166</v>
      </c>
      <c r="B52" s="64"/>
      <c r="C52" s="64"/>
      <c r="D52" s="64"/>
      <c r="E52" s="65"/>
    </row>
    <row r="53" spans="1:9" x14ac:dyDescent="0.25">
      <c r="A53" s="51" t="s">
        <v>167</v>
      </c>
      <c r="B53" s="64"/>
      <c r="C53" s="64"/>
      <c r="D53" s="64"/>
      <c r="E53" s="65"/>
    </row>
    <row r="54" spans="1:9" x14ac:dyDescent="0.25">
      <c r="A54" s="1" t="s">
        <v>169</v>
      </c>
      <c r="B54" s="10" t="s">
        <v>168</v>
      </c>
      <c r="C54" s="18">
        <f>SUM(C55:C56)</f>
        <v>35000</v>
      </c>
      <c r="D54" s="18">
        <f>C54*0.19</f>
        <v>6650</v>
      </c>
      <c r="E54" s="18">
        <f>C54+D54</f>
        <v>41650</v>
      </c>
    </row>
    <row r="55" spans="1:9" ht="30" x14ac:dyDescent="0.25">
      <c r="A55" s="1"/>
      <c r="B55" s="11" t="s">
        <v>170</v>
      </c>
      <c r="C55" s="16">
        <v>35000</v>
      </c>
      <c r="D55" s="19">
        <f>C55*0.19</f>
        <v>6650</v>
      </c>
      <c r="E55" s="19">
        <f>C55+D55</f>
        <v>41650</v>
      </c>
    </row>
    <row r="56" spans="1:9" x14ac:dyDescent="0.2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9" x14ac:dyDescent="0.25">
      <c r="A57" s="1" t="s">
        <v>173</v>
      </c>
      <c r="B57" s="13" t="s">
        <v>172</v>
      </c>
      <c r="C57" s="18">
        <f>SUM(C58:C62)</f>
        <v>39290</v>
      </c>
      <c r="D57" s="18">
        <v>8</v>
      </c>
      <c r="E57" s="18">
        <f>C57+D57</f>
        <v>39298</v>
      </c>
    </row>
    <row r="58" spans="1:9" ht="30" x14ac:dyDescent="0.25">
      <c r="A58" s="1"/>
      <c r="B58" s="11" t="s">
        <v>174</v>
      </c>
      <c r="C58" s="19">
        <v>0</v>
      </c>
      <c r="D58" s="19">
        <v>0</v>
      </c>
      <c r="E58" s="19">
        <v>0</v>
      </c>
      <c r="I58" s="24">
        <f>C51*0.1%</f>
        <v>3686.75</v>
      </c>
    </row>
    <row r="59" spans="1:9" ht="30" x14ac:dyDescent="0.25">
      <c r="A59" s="1"/>
      <c r="B59" s="11" t="s">
        <v>195</v>
      </c>
      <c r="C59" s="19">
        <f>(C41+C42)*0.5%</f>
        <v>16950</v>
      </c>
      <c r="D59" s="19"/>
      <c r="E59" s="19">
        <f>C59</f>
        <v>16950</v>
      </c>
    </row>
    <row r="60" spans="1:9" ht="45" x14ac:dyDescent="0.25">
      <c r="A60" s="1"/>
      <c r="B60" s="11" t="s">
        <v>196</v>
      </c>
      <c r="C60" s="19">
        <f>(C41+C42)*0.1%</f>
        <v>3390</v>
      </c>
      <c r="D60" s="19"/>
      <c r="E60" s="19">
        <f>C60</f>
        <v>3390</v>
      </c>
    </row>
    <row r="61" spans="1:9" x14ac:dyDescent="0.25">
      <c r="A61" s="1"/>
      <c r="B61" s="11" t="s">
        <v>197</v>
      </c>
      <c r="C61" s="19">
        <f>C59</f>
        <v>16950</v>
      </c>
      <c r="D61" s="19"/>
      <c r="E61" s="19">
        <f>C61</f>
        <v>16950</v>
      </c>
    </row>
    <row r="62" spans="1:9" ht="30" x14ac:dyDescent="0.25">
      <c r="A62" s="1"/>
      <c r="B62" s="11" t="s">
        <v>198</v>
      </c>
      <c r="C62" s="27">
        <v>2000</v>
      </c>
      <c r="D62" s="19">
        <v>8</v>
      </c>
      <c r="E62" s="19">
        <f>C62+D62</f>
        <v>2008</v>
      </c>
    </row>
    <row r="63" spans="1:9" x14ac:dyDescent="0.25">
      <c r="A63" s="1" t="s">
        <v>175</v>
      </c>
      <c r="B63" s="9" t="s">
        <v>202</v>
      </c>
      <c r="C63" s="18">
        <v>100000</v>
      </c>
      <c r="D63" s="18">
        <f>C63*0.19</f>
        <v>19000</v>
      </c>
      <c r="E63" s="19">
        <f>C63+D63</f>
        <v>119000</v>
      </c>
    </row>
    <row r="64" spans="1:9" x14ac:dyDescent="0.25">
      <c r="A64" s="1" t="s">
        <v>177</v>
      </c>
      <c r="B64" s="9" t="s">
        <v>176</v>
      </c>
      <c r="C64" s="18">
        <v>1400</v>
      </c>
      <c r="D64" s="18">
        <f>C64*0.19</f>
        <v>266</v>
      </c>
      <c r="E64" s="19">
        <f>C64+D64</f>
        <v>1666</v>
      </c>
    </row>
    <row r="65" spans="1:13" x14ac:dyDescent="0.25">
      <c r="A65" s="70" t="s">
        <v>178</v>
      </c>
      <c r="B65" s="56"/>
      <c r="C65" s="17">
        <f>C54+C57+C63+C64</f>
        <v>175690</v>
      </c>
      <c r="D65" s="17">
        <f>D63+D57+D54</f>
        <v>25658</v>
      </c>
      <c r="E65" s="17">
        <f>C65+D65</f>
        <v>201348</v>
      </c>
    </row>
    <row r="66" spans="1:13" x14ac:dyDescent="0.25">
      <c r="A66" s="51" t="s">
        <v>179</v>
      </c>
      <c r="B66" s="64"/>
      <c r="C66" s="64"/>
      <c r="D66" s="64"/>
      <c r="E66" s="65"/>
    </row>
    <row r="67" spans="1:13" x14ac:dyDescent="0.25">
      <c r="A67" s="59" t="s">
        <v>180</v>
      </c>
      <c r="B67" s="57"/>
      <c r="C67" s="57"/>
      <c r="D67" s="57"/>
      <c r="E67" s="52"/>
    </row>
    <row r="68" spans="1:13" ht="16.5" x14ac:dyDescent="0.3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 x14ac:dyDescent="0.3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 x14ac:dyDescent="0.3">
      <c r="A70" s="55" t="s">
        <v>185</v>
      </c>
      <c r="B70" s="66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 x14ac:dyDescent="0.25">
      <c r="A71" s="49" t="s">
        <v>186</v>
      </c>
      <c r="B71" s="71"/>
      <c r="C71" s="20">
        <f>C70+C65+C51+C38+C12+C9</f>
        <v>4151050.08</v>
      </c>
      <c r="D71" s="20">
        <f>D65+D51+D38+D12+D9</f>
        <v>780976.41520000005</v>
      </c>
      <c r="E71" s="20">
        <f>C71+D71</f>
        <v>4932026.4951999998</v>
      </c>
    </row>
    <row r="72" spans="1:13" x14ac:dyDescent="0.25">
      <c r="A72" s="51" t="s">
        <v>187</v>
      </c>
      <c r="B72" s="65"/>
      <c r="C72" s="16"/>
      <c r="D72" s="16"/>
      <c r="E72" s="16"/>
    </row>
    <row r="73" spans="1:13" x14ac:dyDescent="0.25">
      <c r="A73" s="53" t="s">
        <v>188</v>
      </c>
      <c r="B73" s="69"/>
      <c r="C73" s="25">
        <f>C6+C7+C8+C12+C41+C42+C55</f>
        <v>3486000</v>
      </c>
      <c r="D73" s="25">
        <f>C73*0.19</f>
        <v>662340</v>
      </c>
      <c r="E73" s="25">
        <f>C73+D73</f>
        <v>4148340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7"/>
  <sheetViews>
    <sheetView topLeftCell="A50" zoomScale="110" zoomScaleNormal="110" zoomScaleSheetLayoutView="100" workbookViewId="0">
      <selection activeCell="H69" sqref="H69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3.5703125" style="21" customWidth="1"/>
    <col min="4" max="4" width="13.28515625" style="21" customWidth="1"/>
    <col min="5" max="5" width="16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2" spans="1:19" ht="15" customHeight="1" x14ac:dyDescent="0.25">
      <c r="B2" s="72"/>
      <c r="C2" s="72"/>
      <c r="D2" s="72"/>
      <c r="E2" s="72"/>
      <c r="F2" s="72"/>
    </row>
    <row r="3" spans="1:19" ht="45" customHeight="1" x14ac:dyDescent="0.25">
      <c r="B3" s="72" t="s">
        <v>213</v>
      </c>
      <c r="C3" s="72"/>
      <c r="D3" s="72"/>
      <c r="E3" s="72"/>
      <c r="F3" s="30"/>
    </row>
    <row r="5" spans="1:19" ht="45.75" customHeight="1" x14ac:dyDescent="0.25">
      <c r="A5" s="1" t="s">
        <v>101</v>
      </c>
      <c r="B5" s="5" t="s">
        <v>100</v>
      </c>
      <c r="C5" s="15" t="s">
        <v>104</v>
      </c>
      <c r="D5" s="15" t="s">
        <v>102</v>
      </c>
      <c r="E5" s="15" t="s">
        <v>103</v>
      </c>
    </row>
    <row r="6" spans="1:19" x14ac:dyDescent="0.25">
      <c r="A6" s="1">
        <v>1</v>
      </c>
      <c r="B6" s="6">
        <v>2</v>
      </c>
      <c r="C6" s="29">
        <v>3</v>
      </c>
      <c r="D6" s="29">
        <v>4</v>
      </c>
      <c r="E6" s="29">
        <v>5</v>
      </c>
    </row>
    <row r="7" spans="1:19" x14ac:dyDescent="0.25">
      <c r="A7" s="2" t="s">
        <v>105</v>
      </c>
      <c r="B7" s="6"/>
      <c r="C7" s="16"/>
      <c r="D7" s="16"/>
      <c r="E7" s="16"/>
    </row>
    <row r="8" spans="1:19" x14ac:dyDescent="0.25">
      <c r="A8" s="8" t="s">
        <v>106</v>
      </c>
      <c r="B8" s="9"/>
      <c r="C8" s="16"/>
      <c r="D8" s="16"/>
      <c r="E8" s="16"/>
    </row>
    <row r="9" spans="1:19" x14ac:dyDescent="0.25">
      <c r="A9" s="3" t="s">
        <v>108</v>
      </c>
      <c r="B9" s="6" t="s">
        <v>107</v>
      </c>
      <c r="C9" s="16">
        <v>0</v>
      </c>
      <c r="D9" s="16"/>
      <c r="E9" s="16"/>
    </row>
    <row r="10" spans="1:19" x14ac:dyDescent="0.25">
      <c r="A10" s="1" t="s">
        <v>109</v>
      </c>
      <c r="B10" s="6" t="s">
        <v>112</v>
      </c>
      <c r="C10" s="16">
        <v>0</v>
      </c>
      <c r="D10" s="16">
        <f>C10*0.19</f>
        <v>0</v>
      </c>
      <c r="E10" s="16">
        <f>C10+D10</f>
        <v>0</v>
      </c>
    </row>
    <row r="11" spans="1:19" ht="27.75" customHeight="1" x14ac:dyDescent="0.25">
      <c r="A11" s="1" t="s">
        <v>110</v>
      </c>
      <c r="B11" s="5" t="s">
        <v>113</v>
      </c>
      <c r="C11" s="16">
        <v>22712.78</v>
      </c>
      <c r="D11" s="16">
        <f>C11*0.19</f>
        <v>4315.4281999999994</v>
      </c>
      <c r="E11" s="16">
        <f>C11+D11</f>
        <v>27028.208199999997</v>
      </c>
    </row>
    <row r="12" spans="1:19" ht="28.5" customHeight="1" x14ac:dyDescent="0.25">
      <c r="A12" s="1" t="s">
        <v>111</v>
      </c>
      <c r="B12" s="5" t="s">
        <v>114</v>
      </c>
      <c r="C12" s="16">
        <v>0</v>
      </c>
      <c r="D12" s="16">
        <f>C12*0.19</f>
        <v>0</v>
      </c>
      <c r="E12" s="16"/>
    </row>
    <row r="13" spans="1:19" x14ac:dyDescent="0.25">
      <c r="A13" s="63" t="s">
        <v>115</v>
      </c>
      <c r="B13" s="56"/>
      <c r="C13" s="17">
        <f>SUM(C9:C12)</f>
        <v>22712.78</v>
      </c>
      <c r="D13" s="17">
        <f>C13*0.19</f>
        <v>4315.4281999999994</v>
      </c>
      <c r="E13" s="17">
        <f>C13+D13</f>
        <v>27028.208199999997</v>
      </c>
      <c r="S13" s="24"/>
    </row>
    <row r="14" spans="1:19" x14ac:dyDescent="0.25">
      <c r="A14" s="51" t="s">
        <v>116</v>
      </c>
      <c r="B14" s="64"/>
      <c r="C14" s="64"/>
      <c r="D14" s="64"/>
      <c r="E14" s="65"/>
    </row>
    <row r="15" spans="1:19" x14ac:dyDescent="0.25">
      <c r="A15" s="51" t="s">
        <v>117</v>
      </c>
      <c r="B15" s="64"/>
      <c r="C15" s="64"/>
      <c r="D15" s="64"/>
      <c r="E15" s="65"/>
    </row>
    <row r="16" spans="1:19" x14ac:dyDescent="0.25">
      <c r="A16" s="63" t="s">
        <v>118</v>
      </c>
      <c r="B16" s="56"/>
      <c r="C16" s="17">
        <v>200000</v>
      </c>
      <c r="D16" s="17">
        <f>C16*0.19</f>
        <v>38000</v>
      </c>
      <c r="E16" s="17">
        <f>C16+D16</f>
        <v>238000</v>
      </c>
    </row>
    <row r="17" spans="1:19" x14ac:dyDescent="0.25">
      <c r="A17" s="51" t="s">
        <v>119</v>
      </c>
      <c r="B17" s="64"/>
      <c r="C17" s="64"/>
      <c r="D17" s="64"/>
      <c r="E17" s="65"/>
    </row>
    <row r="18" spans="1:19" x14ac:dyDescent="0.25">
      <c r="A18" s="73" t="s">
        <v>124</v>
      </c>
      <c r="B18" s="74"/>
      <c r="C18" s="74"/>
      <c r="D18" s="74"/>
      <c r="E18" s="75"/>
      <c r="S18" s="24"/>
    </row>
    <row r="19" spans="1:19" x14ac:dyDescent="0.25">
      <c r="A19" s="41" t="s">
        <v>120</v>
      </c>
      <c r="B19" s="48" t="s">
        <v>121</v>
      </c>
      <c r="C19" s="44">
        <f>SUM(C20:C22)</f>
        <v>1200</v>
      </c>
      <c r="D19" s="44">
        <f t="shared" ref="D19:D41" si="0">C19*0.19</f>
        <v>228</v>
      </c>
      <c r="E19" s="44">
        <f>C19+D19</f>
        <v>1428</v>
      </c>
    </row>
    <row r="20" spans="1:19" x14ac:dyDescent="0.25">
      <c r="A20" s="41"/>
      <c r="B20" s="45" t="s">
        <v>122</v>
      </c>
      <c r="C20" s="44">
        <v>1200</v>
      </c>
      <c r="D20" s="44">
        <f t="shared" si="0"/>
        <v>228</v>
      </c>
      <c r="E20" s="44">
        <f t="shared" ref="E20:E25" si="1">D20+C20</f>
        <v>1428</v>
      </c>
    </row>
    <row r="21" spans="1:19" x14ac:dyDescent="0.25">
      <c r="A21" s="41"/>
      <c r="B21" s="45" t="s">
        <v>123</v>
      </c>
      <c r="C21" s="44">
        <v>0</v>
      </c>
      <c r="D21" s="44">
        <f t="shared" si="0"/>
        <v>0</v>
      </c>
      <c r="E21" s="44">
        <f t="shared" si="1"/>
        <v>0</v>
      </c>
    </row>
    <row r="22" spans="1:19" x14ac:dyDescent="0.25">
      <c r="A22" s="41"/>
      <c r="B22" s="45" t="s">
        <v>125</v>
      </c>
      <c r="C22" s="44">
        <v>0</v>
      </c>
      <c r="D22" s="44">
        <f t="shared" si="0"/>
        <v>0</v>
      </c>
      <c r="E22" s="44">
        <f t="shared" si="1"/>
        <v>0</v>
      </c>
      <c r="S22" s="24"/>
    </row>
    <row r="23" spans="1:19" ht="30" x14ac:dyDescent="0.25">
      <c r="A23" s="47" t="s">
        <v>127</v>
      </c>
      <c r="B23" s="42" t="s">
        <v>126</v>
      </c>
      <c r="C23" s="44">
        <v>4500</v>
      </c>
      <c r="D23" s="44">
        <f t="shared" si="0"/>
        <v>855</v>
      </c>
      <c r="E23" s="44">
        <f t="shared" si="1"/>
        <v>5355</v>
      </c>
    </row>
    <row r="24" spans="1:19" x14ac:dyDescent="0.25">
      <c r="A24" s="41" t="s">
        <v>128</v>
      </c>
      <c r="B24" s="45" t="s">
        <v>131</v>
      </c>
      <c r="C24" s="44">
        <f>20500+39500</f>
        <v>60000</v>
      </c>
      <c r="D24" s="44">
        <f t="shared" si="0"/>
        <v>11400</v>
      </c>
      <c r="E24" s="44">
        <f t="shared" si="1"/>
        <v>71400</v>
      </c>
    </row>
    <row r="25" spans="1:19" ht="30" x14ac:dyDescent="0.25">
      <c r="A25" s="41" t="s">
        <v>129</v>
      </c>
      <c r="B25" s="42" t="s">
        <v>132</v>
      </c>
      <c r="C25" s="44">
        <v>9000</v>
      </c>
      <c r="D25" s="44">
        <f t="shared" si="0"/>
        <v>1710</v>
      </c>
      <c r="E25" s="44">
        <f t="shared" si="1"/>
        <v>10710</v>
      </c>
    </row>
    <row r="26" spans="1:19" x14ac:dyDescent="0.25">
      <c r="A26" s="41" t="s">
        <v>130</v>
      </c>
      <c r="B26" s="48" t="s">
        <v>133</v>
      </c>
      <c r="C26" s="44">
        <f>SUM(C27:C32)</f>
        <v>113800</v>
      </c>
      <c r="D26" s="44">
        <f>C26*0.19</f>
        <v>21622</v>
      </c>
      <c r="E26" s="44">
        <f>D26+C26</f>
        <v>135422</v>
      </c>
    </row>
    <row r="27" spans="1:19" x14ac:dyDescent="0.25">
      <c r="A27" s="41"/>
      <c r="B27" s="45" t="s">
        <v>134</v>
      </c>
      <c r="C27" s="44">
        <v>0</v>
      </c>
      <c r="D27" s="44">
        <f t="shared" si="0"/>
        <v>0</v>
      </c>
      <c r="E27" s="44">
        <f>D27+C27</f>
        <v>0</v>
      </c>
    </row>
    <row r="28" spans="1:19" x14ac:dyDescent="0.25">
      <c r="A28" s="41"/>
      <c r="B28" s="45" t="s">
        <v>135</v>
      </c>
      <c r="C28" s="44">
        <v>0</v>
      </c>
      <c r="D28" s="44">
        <f t="shared" si="0"/>
        <v>0</v>
      </c>
      <c r="E28" s="44">
        <f t="shared" ref="E28:E36" si="2">D28+C28</f>
        <v>0</v>
      </c>
    </row>
    <row r="29" spans="1:19" ht="30" x14ac:dyDescent="0.25">
      <c r="A29" s="41"/>
      <c r="B29" s="42" t="s">
        <v>136</v>
      </c>
      <c r="C29" s="44">
        <v>50300</v>
      </c>
      <c r="D29" s="44">
        <f t="shared" si="0"/>
        <v>9557</v>
      </c>
      <c r="E29" s="44">
        <f t="shared" si="2"/>
        <v>59857</v>
      </c>
      <c r="K29" s="24"/>
    </row>
    <row r="30" spans="1:19" ht="45" x14ac:dyDescent="0.25">
      <c r="A30" s="1"/>
      <c r="B30" s="11" t="s">
        <v>137</v>
      </c>
      <c r="C30" s="16">
        <v>19000</v>
      </c>
      <c r="D30" s="16">
        <f t="shared" si="0"/>
        <v>3610</v>
      </c>
      <c r="E30" s="16">
        <f t="shared" si="2"/>
        <v>22610</v>
      </c>
    </row>
    <row r="31" spans="1:19" ht="30" x14ac:dyDescent="0.25">
      <c r="A31" s="1"/>
      <c r="B31" s="11" t="s">
        <v>138</v>
      </c>
      <c r="C31" s="16">
        <v>2500</v>
      </c>
      <c r="D31" s="16">
        <f t="shared" si="0"/>
        <v>475</v>
      </c>
      <c r="E31" s="16">
        <f t="shared" si="2"/>
        <v>2975</v>
      </c>
    </row>
    <row r="32" spans="1:19" x14ac:dyDescent="0.25">
      <c r="A32" s="1"/>
      <c r="B32" s="9" t="s">
        <v>139</v>
      </c>
      <c r="C32" s="16">
        <v>42000</v>
      </c>
      <c r="D32" s="16">
        <f t="shared" si="0"/>
        <v>7980</v>
      </c>
      <c r="E32" s="16">
        <f t="shared" si="2"/>
        <v>49980</v>
      </c>
    </row>
    <row r="33" spans="1:7" x14ac:dyDescent="0.25">
      <c r="A33" s="47" t="s">
        <v>141</v>
      </c>
      <c r="B33" s="48" t="s">
        <v>140</v>
      </c>
      <c r="C33" s="44">
        <v>0</v>
      </c>
      <c r="D33" s="44">
        <f t="shared" si="0"/>
        <v>0</v>
      </c>
      <c r="E33" s="44">
        <f t="shared" si="2"/>
        <v>0</v>
      </c>
    </row>
    <row r="34" spans="1:7" x14ac:dyDescent="0.25">
      <c r="A34" s="41" t="s">
        <v>142</v>
      </c>
      <c r="B34" s="48" t="s">
        <v>144</v>
      </c>
      <c r="C34" s="44">
        <v>0</v>
      </c>
      <c r="D34" s="44">
        <f t="shared" si="0"/>
        <v>0</v>
      </c>
      <c r="E34" s="44">
        <f t="shared" si="2"/>
        <v>0</v>
      </c>
    </row>
    <row r="35" spans="1:7" ht="30" x14ac:dyDescent="0.25">
      <c r="A35" s="41"/>
      <c r="B35" s="42" t="s">
        <v>145</v>
      </c>
      <c r="C35" s="44">
        <v>0</v>
      </c>
      <c r="D35" s="44">
        <f t="shared" si="0"/>
        <v>0</v>
      </c>
      <c r="E35" s="44">
        <f t="shared" si="2"/>
        <v>0</v>
      </c>
    </row>
    <row r="36" spans="1:7" x14ac:dyDescent="0.25">
      <c r="A36" s="1"/>
      <c r="B36" s="9" t="s">
        <v>146</v>
      </c>
      <c r="C36" s="16">
        <v>0</v>
      </c>
      <c r="D36" s="16">
        <f t="shared" si="0"/>
        <v>0</v>
      </c>
      <c r="E36" s="16">
        <f t="shared" si="2"/>
        <v>0</v>
      </c>
    </row>
    <row r="37" spans="1:7" x14ac:dyDescent="0.25">
      <c r="A37" s="41" t="s">
        <v>143</v>
      </c>
      <c r="B37" s="45" t="s">
        <v>147</v>
      </c>
      <c r="C37" s="44">
        <f>C38+C41</f>
        <v>162450</v>
      </c>
      <c r="D37" s="44">
        <f t="shared" si="0"/>
        <v>30865.5</v>
      </c>
      <c r="E37" s="44">
        <f t="shared" ref="E37:E42" si="3">C37+D37</f>
        <v>193315.5</v>
      </c>
    </row>
    <row r="38" spans="1:7" x14ac:dyDescent="0.25">
      <c r="A38" s="41"/>
      <c r="B38" s="45" t="s">
        <v>190</v>
      </c>
      <c r="C38" s="44">
        <f>SUM(C39:C40)</f>
        <v>2450</v>
      </c>
      <c r="D38" s="44">
        <f t="shared" si="0"/>
        <v>465.5</v>
      </c>
      <c r="E38" s="44">
        <f t="shared" si="3"/>
        <v>2915.5</v>
      </c>
    </row>
    <row r="39" spans="1:7" x14ac:dyDescent="0.25">
      <c r="A39" s="41"/>
      <c r="B39" s="45" t="s">
        <v>148</v>
      </c>
      <c r="C39" s="44">
        <v>1000</v>
      </c>
      <c r="D39" s="44">
        <f t="shared" si="0"/>
        <v>190</v>
      </c>
      <c r="E39" s="44">
        <f t="shared" si="3"/>
        <v>1190</v>
      </c>
    </row>
    <row r="40" spans="1:7" ht="45" x14ac:dyDescent="0.25">
      <c r="A40" s="41"/>
      <c r="B40" s="42" t="s">
        <v>149</v>
      </c>
      <c r="C40" s="44">
        <v>1450</v>
      </c>
      <c r="D40" s="44">
        <f t="shared" si="0"/>
        <v>275.5</v>
      </c>
      <c r="E40" s="44">
        <f t="shared" si="3"/>
        <v>1725.5</v>
      </c>
    </row>
    <row r="41" spans="1:7" x14ac:dyDescent="0.25">
      <c r="A41" s="41"/>
      <c r="B41" s="45" t="s">
        <v>150</v>
      </c>
      <c r="C41" s="44">
        <v>160000</v>
      </c>
      <c r="D41" s="44">
        <f t="shared" si="0"/>
        <v>30400</v>
      </c>
      <c r="E41" s="44">
        <f t="shared" si="3"/>
        <v>190400</v>
      </c>
    </row>
    <row r="42" spans="1:7" x14ac:dyDescent="0.25">
      <c r="A42" s="55" t="s">
        <v>151</v>
      </c>
      <c r="B42" s="66"/>
      <c r="C42" s="17">
        <f>C37+C34+C33+C26+C25+C24+C23+C19</f>
        <v>350950</v>
      </c>
      <c r="D42" s="17">
        <f>D37+D33+D34+D26+D25+D24+D23+D19</f>
        <v>66680.5</v>
      </c>
      <c r="E42" s="17">
        <f t="shared" si="3"/>
        <v>417630.5</v>
      </c>
      <c r="G42" s="24"/>
    </row>
    <row r="43" spans="1:7" x14ac:dyDescent="0.25">
      <c r="A43" s="51" t="s">
        <v>152</v>
      </c>
      <c r="B43" s="64"/>
      <c r="C43" s="64"/>
      <c r="D43" s="64"/>
      <c r="E43" s="65"/>
    </row>
    <row r="44" spans="1:7" x14ac:dyDescent="0.25">
      <c r="A44" s="60" t="s">
        <v>189</v>
      </c>
      <c r="B44" s="67"/>
      <c r="C44" s="67"/>
      <c r="D44" s="67"/>
      <c r="E44" s="68"/>
    </row>
    <row r="45" spans="1:7" x14ac:dyDescent="0.25">
      <c r="A45" s="1" t="s">
        <v>154</v>
      </c>
      <c r="B45" s="46" t="s">
        <v>153</v>
      </c>
      <c r="C45" s="44">
        <v>2709547.02</v>
      </c>
      <c r="D45" s="44">
        <f>C45*0.19</f>
        <v>514813.9338</v>
      </c>
      <c r="E45" s="44">
        <f>C45+D45+0.01</f>
        <v>3224360.9638</v>
      </c>
    </row>
    <row r="46" spans="1:7" ht="30" x14ac:dyDescent="0.25">
      <c r="A46" s="1" t="s">
        <v>156</v>
      </c>
      <c r="B46" s="42" t="s">
        <v>155</v>
      </c>
      <c r="C46" s="44">
        <v>0</v>
      </c>
      <c r="D46" s="44">
        <f>C46*0.19</f>
        <v>0</v>
      </c>
      <c r="E46" s="44">
        <f t="shared" ref="E46:E49" si="4">C46+D46</f>
        <v>0</v>
      </c>
    </row>
    <row r="47" spans="1:7" ht="30" x14ac:dyDescent="0.25">
      <c r="A47" s="1" t="s">
        <v>157</v>
      </c>
      <c r="B47" s="42" t="s">
        <v>158</v>
      </c>
      <c r="C47" s="44">
        <v>1732966.23</v>
      </c>
      <c r="D47" s="44">
        <f>C47*0.19</f>
        <v>329263.58370000002</v>
      </c>
      <c r="E47" s="44">
        <f t="shared" si="4"/>
        <v>2062229.8137000001</v>
      </c>
    </row>
    <row r="48" spans="1:7" ht="45" x14ac:dyDescent="0.25">
      <c r="A48" s="1" t="s">
        <v>159</v>
      </c>
      <c r="B48" s="42" t="s">
        <v>160</v>
      </c>
      <c r="C48" s="44">
        <v>0</v>
      </c>
      <c r="D48" s="44">
        <f>C48*0.19</f>
        <v>0</v>
      </c>
      <c r="E48" s="44">
        <f t="shared" si="4"/>
        <v>0</v>
      </c>
    </row>
    <row r="49" spans="1:5" x14ac:dyDescent="0.25">
      <c r="A49" s="41" t="s">
        <v>161</v>
      </c>
      <c r="B49" s="45" t="s">
        <v>163</v>
      </c>
      <c r="C49" s="44">
        <v>0</v>
      </c>
      <c r="D49" s="44">
        <f>C49*0.19</f>
        <v>0</v>
      </c>
      <c r="E49" s="44">
        <f t="shared" si="4"/>
        <v>0</v>
      </c>
    </row>
    <row r="50" spans="1:5" ht="0.75" customHeight="1" x14ac:dyDescent="0.25">
      <c r="A50" s="1"/>
      <c r="B50" s="26" t="s">
        <v>191</v>
      </c>
      <c r="C50" s="16"/>
      <c r="D50" s="16"/>
      <c r="E50" s="16"/>
    </row>
    <row r="51" spans="1:5" hidden="1" x14ac:dyDescent="0.25">
      <c r="A51" s="1"/>
      <c r="B51" s="26" t="s">
        <v>192</v>
      </c>
      <c r="C51" s="16"/>
      <c r="D51" s="16"/>
      <c r="E51" s="16"/>
    </row>
    <row r="52" spans="1:5" hidden="1" x14ac:dyDescent="0.25">
      <c r="A52" s="1"/>
      <c r="B52" s="26" t="s">
        <v>193</v>
      </c>
      <c r="C52" s="16"/>
      <c r="D52" s="16"/>
      <c r="E52" s="16"/>
    </row>
    <row r="53" spans="1:5" hidden="1" x14ac:dyDescent="0.25">
      <c r="A53" s="1"/>
      <c r="B53" s="26" t="s">
        <v>194</v>
      </c>
      <c r="C53" s="16"/>
      <c r="D53" s="16"/>
      <c r="E53" s="16"/>
    </row>
    <row r="54" spans="1:5" hidden="1" x14ac:dyDescent="0.25">
      <c r="A54" s="1" t="s">
        <v>162</v>
      </c>
      <c r="B54" s="9" t="s">
        <v>164</v>
      </c>
      <c r="C54" s="16"/>
      <c r="D54" s="16"/>
      <c r="E54" s="16"/>
    </row>
    <row r="55" spans="1:5" x14ac:dyDescent="0.25">
      <c r="A55" s="55" t="s">
        <v>165</v>
      </c>
      <c r="B55" s="66"/>
      <c r="C55" s="17">
        <f>SUM(C45:C54)</f>
        <v>4442513.25</v>
      </c>
      <c r="D55" s="17">
        <f>SUM(D45:D54)+0.01</f>
        <v>844077.52750000008</v>
      </c>
      <c r="E55" s="17">
        <f>C55+D55</f>
        <v>5286590.7774999999</v>
      </c>
    </row>
    <row r="56" spans="1:5" x14ac:dyDescent="0.25">
      <c r="A56" s="51" t="s">
        <v>166</v>
      </c>
      <c r="B56" s="64"/>
      <c r="C56" s="64"/>
      <c r="D56" s="64"/>
      <c r="E56" s="65"/>
    </row>
    <row r="57" spans="1:5" x14ac:dyDescent="0.25">
      <c r="A57" s="73" t="s">
        <v>167</v>
      </c>
      <c r="B57" s="74"/>
      <c r="C57" s="74"/>
      <c r="D57" s="74"/>
      <c r="E57" s="75"/>
    </row>
    <row r="58" spans="1:5" x14ac:dyDescent="0.25">
      <c r="A58" s="41" t="s">
        <v>169</v>
      </c>
      <c r="B58" s="48" t="s">
        <v>168</v>
      </c>
      <c r="C58" s="44">
        <f>SUM(C59:C60)</f>
        <v>53983.89</v>
      </c>
      <c r="D58" s="44">
        <f>C58*0.19</f>
        <v>10256.9391</v>
      </c>
      <c r="E58" s="44">
        <f>C58+D58</f>
        <v>64240.829100000003</v>
      </c>
    </row>
    <row r="59" spans="1:5" ht="30" x14ac:dyDescent="0.25">
      <c r="A59" s="41"/>
      <c r="B59" s="42" t="s">
        <v>170</v>
      </c>
      <c r="C59" s="44">
        <v>35231.440000000002</v>
      </c>
      <c r="D59" s="44">
        <f>C59*0.19</f>
        <v>6693.9736000000003</v>
      </c>
      <c r="E59" s="44">
        <f>C59+D59</f>
        <v>41925.4136</v>
      </c>
    </row>
    <row r="60" spans="1:5" x14ac:dyDescent="0.25">
      <c r="A60" s="41"/>
      <c r="B60" s="45" t="s">
        <v>171</v>
      </c>
      <c r="C60" s="44">
        <v>18752.45</v>
      </c>
      <c r="D60" s="44">
        <f>C60*0.19</f>
        <v>3562.9655000000002</v>
      </c>
      <c r="E60" s="44">
        <f>C60+D60</f>
        <v>22315.415500000003</v>
      </c>
    </row>
    <row r="61" spans="1:5" x14ac:dyDescent="0.25">
      <c r="A61" s="41" t="s">
        <v>173</v>
      </c>
      <c r="B61" s="45" t="s">
        <v>172</v>
      </c>
      <c r="C61" s="44">
        <f>SUM(C62:C66)</f>
        <v>35082.409999999996</v>
      </c>
      <c r="D61" s="44">
        <f>SUM(D62:D66)</f>
        <v>463.6</v>
      </c>
      <c r="E61" s="44">
        <f>SUM(E62:E66)</f>
        <v>35546.009999999995</v>
      </c>
    </row>
    <row r="62" spans="1:5" ht="30" x14ac:dyDescent="0.25">
      <c r="A62" s="41"/>
      <c r="B62" s="42" t="s">
        <v>174</v>
      </c>
      <c r="C62" s="44">
        <v>0</v>
      </c>
      <c r="D62" s="44">
        <v>0</v>
      </c>
      <c r="E62" s="44">
        <v>0</v>
      </c>
    </row>
    <row r="63" spans="1:5" ht="30" x14ac:dyDescent="0.25">
      <c r="A63" s="1"/>
      <c r="B63" s="11" t="s">
        <v>195</v>
      </c>
      <c r="C63" s="19">
        <v>14837.46</v>
      </c>
      <c r="D63" s="19"/>
      <c r="E63" s="19">
        <f>C63</f>
        <v>14837.46</v>
      </c>
    </row>
    <row r="64" spans="1:5" ht="45" x14ac:dyDescent="0.25">
      <c r="A64" s="1"/>
      <c r="B64" s="11" t="s">
        <v>196</v>
      </c>
      <c r="C64" s="19">
        <v>2967.49</v>
      </c>
      <c r="D64" s="19"/>
      <c r="E64" s="19">
        <f>C64</f>
        <v>2967.49</v>
      </c>
    </row>
    <row r="65" spans="1:13" x14ac:dyDescent="0.25">
      <c r="A65" s="1"/>
      <c r="B65" s="11" t="s">
        <v>197</v>
      </c>
      <c r="C65" s="19">
        <v>14837.46</v>
      </c>
      <c r="D65" s="19"/>
      <c r="E65" s="19">
        <f>C65</f>
        <v>14837.46</v>
      </c>
    </row>
    <row r="66" spans="1:13" ht="30" x14ac:dyDescent="0.25">
      <c r="A66" s="41"/>
      <c r="B66" s="42" t="s">
        <v>198</v>
      </c>
      <c r="C66" s="43">
        <v>2440</v>
      </c>
      <c r="D66" s="44">
        <f>C66*0.19</f>
        <v>463.6</v>
      </c>
      <c r="E66" s="44">
        <f>C66+D66</f>
        <v>2903.6</v>
      </c>
    </row>
    <row r="67" spans="1:13" x14ac:dyDescent="0.25">
      <c r="A67" s="41" t="s">
        <v>175</v>
      </c>
      <c r="B67" s="45" t="s">
        <v>214</v>
      </c>
      <c r="C67" s="44">
        <v>398388.39</v>
      </c>
      <c r="D67" s="44">
        <f>C67*0.19+0.01</f>
        <v>75693.804099999994</v>
      </c>
      <c r="E67" s="44">
        <f>C67+D67</f>
        <v>474082.19410000002</v>
      </c>
    </row>
    <row r="68" spans="1:13" x14ac:dyDescent="0.25">
      <c r="A68" s="41" t="s">
        <v>177</v>
      </c>
      <c r="B68" s="45" t="s">
        <v>176</v>
      </c>
      <c r="C68" s="44">
        <v>5508.9</v>
      </c>
      <c r="D68" s="44">
        <f>C68*0.19+0.01</f>
        <v>1046.701</v>
      </c>
      <c r="E68" s="44">
        <f>C68+D68</f>
        <v>6555.6009999999997</v>
      </c>
    </row>
    <row r="69" spans="1:13" x14ac:dyDescent="0.25">
      <c r="A69" s="70" t="s">
        <v>178</v>
      </c>
      <c r="B69" s="56"/>
      <c r="C69" s="17">
        <f>C58+C61+C67+C68</f>
        <v>492963.59</v>
      </c>
      <c r="D69" s="17">
        <f>D68+D67+D61+D58</f>
        <v>87461.044200000004</v>
      </c>
      <c r="E69" s="17">
        <f>E58+E61+E67+E68</f>
        <v>580424.63420000009</v>
      </c>
    </row>
    <row r="70" spans="1:13" x14ac:dyDescent="0.25">
      <c r="A70" s="51" t="s">
        <v>179</v>
      </c>
      <c r="B70" s="64"/>
      <c r="C70" s="64"/>
      <c r="D70" s="64"/>
      <c r="E70" s="65"/>
    </row>
    <row r="71" spans="1:13" x14ac:dyDescent="0.25">
      <c r="A71" s="59" t="s">
        <v>180</v>
      </c>
      <c r="B71" s="57"/>
      <c r="C71" s="57"/>
      <c r="D71" s="57"/>
      <c r="E71" s="52"/>
    </row>
    <row r="72" spans="1:13" ht="16.5" x14ac:dyDescent="0.3">
      <c r="A72" s="1" t="s">
        <v>182</v>
      </c>
      <c r="B72" s="6" t="s">
        <v>181</v>
      </c>
      <c r="C72" s="16"/>
      <c r="D72" s="16">
        <f>C72*0.19</f>
        <v>0</v>
      </c>
      <c r="E72" s="16">
        <f>C72+D72</f>
        <v>0</v>
      </c>
      <c r="J72" s="24"/>
      <c r="M72" s="28"/>
    </row>
    <row r="73" spans="1:13" ht="16.5" x14ac:dyDescent="0.3">
      <c r="A73" s="1" t="s">
        <v>183</v>
      </c>
      <c r="B73" s="6" t="s">
        <v>184</v>
      </c>
      <c r="C73" s="16"/>
      <c r="D73" s="16">
        <f>C73*0.19</f>
        <v>0</v>
      </c>
      <c r="E73" s="16">
        <f>C73+D73</f>
        <v>0</v>
      </c>
      <c r="M73" s="28"/>
    </row>
    <row r="74" spans="1:13" ht="16.5" x14ac:dyDescent="0.3">
      <c r="A74" s="55" t="s">
        <v>185</v>
      </c>
      <c r="B74" s="66"/>
      <c r="C74" s="17">
        <f>SUM(C72:C73)</f>
        <v>0</v>
      </c>
      <c r="D74" s="17">
        <f>C74*0.19</f>
        <v>0</v>
      </c>
      <c r="E74" s="17">
        <f>C74+D74</f>
        <v>0</v>
      </c>
      <c r="H74" s="24"/>
      <c r="M74" s="28"/>
    </row>
    <row r="75" spans="1:13" x14ac:dyDescent="0.25">
      <c r="A75" s="49" t="s">
        <v>186</v>
      </c>
      <c r="B75" s="71"/>
      <c r="C75" s="20">
        <f>C74+C69+C55+C42+C16+C13</f>
        <v>5509139.6200000001</v>
      </c>
      <c r="D75" s="20">
        <f>D69+D55+D42+D16+D13+0.01</f>
        <v>1040534.5099000001</v>
      </c>
      <c r="E75" s="20">
        <f>C75+D75-0.01</f>
        <v>6549674.1199000003</v>
      </c>
    </row>
    <row r="76" spans="1:13" x14ac:dyDescent="0.25">
      <c r="A76" s="51" t="s">
        <v>187</v>
      </c>
      <c r="B76" s="65"/>
      <c r="C76" s="16"/>
      <c r="D76" s="16"/>
      <c r="E76" s="16"/>
    </row>
    <row r="77" spans="1:13" x14ac:dyDescent="0.25">
      <c r="A77" s="53" t="s">
        <v>188</v>
      </c>
      <c r="B77" s="69"/>
      <c r="C77" s="25">
        <f>C10+C11+C12+C16+C45+C46+C59</f>
        <v>2967491.2399999998</v>
      </c>
      <c r="D77" s="25">
        <f>C77*0.19</f>
        <v>563823.33559999999</v>
      </c>
      <c r="E77" s="25">
        <f>C77+D77</f>
        <v>3531314.5755999996</v>
      </c>
    </row>
  </sheetData>
  <mergeCells count="21">
    <mergeCell ref="A44:E44"/>
    <mergeCell ref="A55:B55"/>
    <mergeCell ref="A56:E56"/>
    <mergeCell ref="A57:E57"/>
    <mergeCell ref="A77:B77"/>
    <mergeCell ref="A69:B69"/>
    <mergeCell ref="A70:E70"/>
    <mergeCell ref="A71:E71"/>
    <mergeCell ref="A74:B74"/>
    <mergeCell ref="A75:B75"/>
    <mergeCell ref="A76:B76"/>
    <mergeCell ref="A16:B16"/>
    <mergeCell ref="A17:E17"/>
    <mergeCell ref="A18:E18"/>
    <mergeCell ref="A42:B42"/>
    <mergeCell ref="A43:E43"/>
    <mergeCell ref="B2:F2"/>
    <mergeCell ref="B3:E3"/>
    <mergeCell ref="A13:B13"/>
    <mergeCell ref="A14:E14"/>
    <mergeCell ref="A15:E15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1"/>
  <sheetViews>
    <sheetView zoomScaleNormal="100" workbookViewId="0">
      <selection activeCell="E59" sqref="E59"/>
    </sheetView>
  </sheetViews>
  <sheetFormatPr defaultRowHeight="15" x14ac:dyDescent="0.25"/>
  <cols>
    <col min="1" max="1" width="3.85546875" style="4" customWidth="1"/>
    <col min="2" max="2" width="45.42578125" style="7" customWidth="1"/>
    <col min="3" max="4" width="13.5703125" style="21" customWidth="1"/>
    <col min="5" max="5" width="16.28515625" style="21" customWidth="1"/>
    <col min="7" max="7" width="13.5703125" customWidth="1"/>
    <col min="8" max="8" width="12.85546875" style="24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2" spans="1:19" x14ac:dyDescent="0.25">
      <c r="A2" s="76" t="s">
        <v>206</v>
      </c>
      <c r="B2" s="76"/>
      <c r="C2" s="76"/>
      <c r="D2" s="76"/>
      <c r="E2" s="76"/>
    </row>
    <row r="4" spans="1:19" ht="40.5" customHeight="1" x14ac:dyDescent="0.25">
      <c r="A4" s="72" t="s">
        <v>205</v>
      </c>
      <c r="B4" s="72"/>
      <c r="C4" s="72"/>
      <c r="D4" s="72"/>
      <c r="E4" s="72"/>
    </row>
    <row r="5" spans="1:19" ht="15" customHeight="1" x14ac:dyDescent="0.25"/>
    <row r="6" spans="1:19" ht="15" customHeight="1" x14ac:dyDescent="0.25"/>
    <row r="10" spans="1:19" ht="45.75" customHeight="1" x14ac:dyDescent="0.25">
      <c r="A10" s="1" t="s">
        <v>101</v>
      </c>
      <c r="B10" s="5" t="s">
        <v>100</v>
      </c>
      <c r="C10" s="15" t="s">
        <v>104</v>
      </c>
      <c r="D10" s="15" t="s">
        <v>102</v>
      </c>
      <c r="E10" s="15" t="s">
        <v>103</v>
      </c>
      <c r="I10" s="21"/>
    </row>
    <row r="11" spans="1:19" x14ac:dyDescent="0.25">
      <c r="A11" s="1">
        <v>1</v>
      </c>
      <c r="B11" s="6">
        <v>2</v>
      </c>
      <c r="C11" s="29">
        <v>3</v>
      </c>
      <c r="D11" s="29">
        <v>4</v>
      </c>
      <c r="E11" s="29">
        <v>5</v>
      </c>
    </row>
    <row r="12" spans="1:19" x14ac:dyDescent="0.25">
      <c r="A12" s="2" t="s">
        <v>105</v>
      </c>
      <c r="B12" s="6"/>
      <c r="C12" s="16"/>
      <c r="D12" s="16"/>
      <c r="E12" s="16"/>
    </row>
    <row r="13" spans="1:19" x14ac:dyDescent="0.25">
      <c r="A13" s="51" t="s">
        <v>119</v>
      </c>
      <c r="B13" s="64"/>
      <c r="C13" s="64"/>
      <c r="D13" s="64"/>
      <c r="E13" s="65"/>
    </row>
    <row r="14" spans="1:19" x14ac:dyDescent="0.25">
      <c r="A14" s="51" t="s">
        <v>124</v>
      </c>
      <c r="B14" s="64"/>
      <c r="C14" s="64"/>
      <c r="D14" s="64"/>
      <c r="E14" s="65"/>
      <c r="S14" s="24"/>
    </row>
    <row r="15" spans="1:19" x14ac:dyDescent="0.25">
      <c r="A15" s="31" t="s">
        <v>120</v>
      </c>
      <c r="B15" s="36" t="s">
        <v>121</v>
      </c>
      <c r="C15" s="19">
        <f>SUM(C16:C18)</f>
        <v>1200</v>
      </c>
      <c r="D15" s="19">
        <f t="shared" ref="D15:D37" si="0">C15*0.19</f>
        <v>228</v>
      </c>
      <c r="E15" s="19">
        <f>C15+D15</f>
        <v>1428</v>
      </c>
    </row>
    <row r="16" spans="1:19" x14ac:dyDescent="0.25">
      <c r="A16" s="31"/>
      <c r="B16" s="32" t="s">
        <v>122</v>
      </c>
      <c r="C16" s="19">
        <v>1200</v>
      </c>
      <c r="D16" s="19">
        <f t="shared" si="0"/>
        <v>228</v>
      </c>
      <c r="E16" s="19">
        <f t="shared" ref="E16:E21" si="1">D16+C16</f>
        <v>1428</v>
      </c>
    </row>
    <row r="17" spans="1:19" x14ac:dyDescent="0.25">
      <c r="A17" s="31"/>
      <c r="B17" s="32" t="s">
        <v>123</v>
      </c>
      <c r="C17" s="19">
        <v>0</v>
      </c>
      <c r="D17" s="19">
        <f t="shared" si="0"/>
        <v>0</v>
      </c>
      <c r="E17" s="19">
        <f t="shared" si="1"/>
        <v>0</v>
      </c>
    </row>
    <row r="18" spans="1:19" x14ac:dyDescent="0.25">
      <c r="A18" s="31"/>
      <c r="B18" s="32" t="s">
        <v>125</v>
      </c>
      <c r="C18" s="19">
        <v>0</v>
      </c>
      <c r="D18" s="19">
        <f t="shared" si="0"/>
        <v>0</v>
      </c>
      <c r="E18" s="19">
        <f t="shared" si="1"/>
        <v>0</v>
      </c>
      <c r="S18" s="24"/>
    </row>
    <row r="19" spans="1:19" ht="30" x14ac:dyDescent="0.25">
      <c r="A19" s="37" t="s">
        <v>127</v>
      </c>
      <c r="B19" s="33" t="s">
        <v>126</v>
      </c>
      <c r="C19" s="19">
        <v>4500</v>
      </c>
      <c r="D19" s="19">
        <f t="shared" si="0"/>
        <v>855</v>
      </c>
      <c r="E19" s="19">
        <f t="shared" si="1"/>
        <v>5355</v>
      </c>
    </row>
    <row r="20" spans="1:19" x14ac:dyDescent="0.25">
      <c r="A20" s="31" t="s">
        <v>128</v>
      </c>
      <c r="B20" s="32" t="s">
        <v>131</v>
      </c>
      <c r="C20" s="19">
        <v>5882.3540000000003</v>
      </c>
      <c r="D20" s="19">
        <f t="shared" si="0"/>
        <v>1117.64726</v>
      </c>
      <c r="E20" s="19">
        <v>7000</v>
      </c>
    </row>
    <row r="21" spans="1:19" ht="30" x14ac:dyDescent="0.25">
      <c r="A21" s="31" t="s">
        <v>129</v>
      </c>
      <c r="B21" s="33" t="s">
        <v>132</v>
      </c>
      <c r="C21" s="19">
        <v>9000</v>
      </c>
      <c r="D21" s="19">
        <f t="shared" si="0"/>
        <v>1710</v>
      </c>
      <c r="E21" s="19">
        <f t="shared" si="1"/>
        <v>10710</v>
      </c>
    </row>
    <row r="22" spans="1:19" x14ac:dyDescent="0.25">
      <c r="A22" s="31" t="s">
        <v>130</v>
      </c>
      <c r="B22" s="36" t="s">
        <v>133</v>
      </c>
      <c r="C22" s="19">
        <f>SUM(C23:C28)</f>
        <v>113800</v>
      </c>
      <c r="D22" s="19">
        <f>C22*0.19</f>
        <v>21622</v>
      </c>
      <c r="E22" s="19">
        <f>D22+C22</f>
        <v>135422</v>
      </c>
    </row>
    <row r="23" spans="1:19" x14ac:dyDescent="0.25">
      <c r="A23" s="31"/>
      <c r="B23" s="32" t="s">
        <v>134</v>
      </c>
      <c r="C23" s="19">
        <v>0</v>
      </c>
      <c r="D23" s="19">
        <f t="shared" si="0"/>
        <v>0</v>
      </c>
      <c r="E23" s="19">
        <f>D23+C23</f>
        <v>0</v>
      </c>
    </row>
    <row r="24" spans="1:19" x14ac:dyDescent="0.25">
      <c r="A24" s="31"/>
      <c r="B24" s="32" t="s">
        <v>135</v>
      </c>
      <c r="C24" s="19">
        <v>0</v>
      </c>
      <c r="D24" s="19">
        <f t="shared" si="0"/>
        <v>0</v>
      </c>
      <c r="E24" s="19">
        <f t="shared" ref="E24:E32" si="2">D24+C24</f>
        <v>0</v>
      </c>
    </row>
    <row r="25" spans="1:19" ht="30" x14ac:dyDescent="0.25">
      <c r="A25" s="31"/>
      <c r="B25" s="33" t="s">
        <v>136</v>
      </c>
      <c r="C25" s="19">
        <v>50300</v>
      </c>
      <c r="D25" s="19">
        <f t="shared" si="0"/>
        <v>9557</v>
      </c>
      <c r="E25" s="19">
        <f t="shared" si="2"/>
        <v>59857</v>
      </c>
      <c r="K25" s="24"/>
    </row>
    <row r="26" spans="1:19" ht="45" x14ac:dyDescent="0.25">
      <c r="A26" s="31"/>
      <c r="B26" s="33" t="s">
        <v>137</v>
      </c>
      <c r="C26" s="19">
        <v>19000</v>
      </c>
      <c r="D26" s="19">
        <f t="shared" si="0"/>
        <v>3610</v>
      </c>
      <c r="E26" s="19">
        <f t="shared" si="2"/>
        <v>22610</v>
      </c>
    </row>
    <row r="27" spans="1:19" ht="30" x14ac:dyDescent="0.25">
      <c r="A27" s="31"/>
      <c r="B27" s="33" t="s">
        <v>138</v>
      </c>
      <c r="C27" s="19">
        <v>2500</v>
      </c>
      <c r="D27" s="19">
        <f t="shared" si="0"/>
        <v>475</v>
      </c>
      <c r="E27" s="19">
        <f t="shared" si="2"/>
        <v>2975</v>
      </c>
    </row>
    <row r="28" spans="1:19" x14ac:dyDescent="0.25">
      <c r="A28" s="31"/>
      <c r="B28" s="32" t="s">
        <v>139</v>
      </c>
      <c r="C28" s="19">
        <v>42000</v>
      </c>
      <c r="D28" s="19">
        <f t="shared" si="0"/>
        <v>7980</v>
      </c>
      <c r="E28" s="19">
        <f t="shared" si="2"/>
        <v>49980</v>
      </c>
    </row>
    <row r="29" spans="1:19" x14ac:dyDescent="0.25">
      <c r="A29" s="37" t="s">
        <v>141</v>
      </c>
      <c r="B29" s="36" t="s">
        <v>140</v>
      </c>
      <c r="C29" s="19">
        <v>0</v>
      </c>
      <c r="D29" s="19">
        <f t="shared" si="0"/>
        <v>0</v>
      </c>
      <c r="E29" s="19">
        <f t="shared" si="2"/>
        <v>0</v>
      </c>
    </row>
    <row r="30" spans="1:19" x14ac:dyDescent="0.25">
      <c r="A30" s="31" t="s">
        <v>142</v>
      </c>
      <c r="B30" s="36" t="s">
        <v>144</v>
      </c>
      <c r="C30" s="19">
        <v>0</v>
      </c>
      <c r="D30" s="19">
        <f t="shared" si="0"/>
        <v>0</v>
      </c>
      <c r="E30" s="19">
        <f t="shared" si="2"/>
        <v>0</v>
      </c>
    </row>
    <row r="31" spans="1:19" ht="30" x14ac:dyDescent="0.25">
      <c r="A31" s="31"/>
      <c r="B31" s="33" t="s">
        <v>145</v>
      </c>
      <c r="C31" s="19">
        <v>0</v>
      </c>
      <c r="D31" s="19">
        <f t="shared" si="0"/>
        <v>0</v>
      </c>
      <c r="E31" s="19">
        <f t="shared" si="2"/>
        <v>0</v>
      </c>
    </row>
    <row r="32" spans="1:19" x14ac:dyDescent="0.25">
      <c r="A32" s="31"/>
      <c r="B32" s="32" t="s">
        <v>146</v>
      </c>
      <c r="C32" s="19">
        <v>0</v>
      </c>
      <c r="D32" s="19">
        <f t="shared" si="0"/>
        <v>0</v>
      </c>
      <c r="E32" s="19">
        <f t="shared" si="2"/>
        <v>0</v>
      </c>
    </row>
    <row r="33" spans="1:7" x14ac:dyDescent="0.25">
      <c r="A33" s="31" t="s">
        <v>143</v>
      </c>
      <c r="B33" s="32" t="s">
        <v>147</v>
      </c>
      <c r="C33" s="19">
        <f>C34+C37</f>
        <v>162450</v>
      </c>
      <c r="D33" s="19">
        <f t="shared" si="0"/>
        <v>30865.5</v>
      </c>
      <c r="E33" s="19">
        <f t="shared" ref="E33:E38" si="3">C33+D33</f>
        <v>193315.5</v>
      </c>
    </row>
    <row r="34" spans="1:7" x14ac:dyDescent="0.25">
      <c r="A34" s="31"/>
      <c r="B34" s="32" t="s">
        <v>190</v>
      </c>
      <c r="C34" s="19">
        <f>SUM(C35:C36)</f>
        <v>2450</v>
      </c>
      <c r="D34" s="19">
        <f t="shared" si="0"/>
        <v>465.5</v>
      </c>
      <c r="E34" s="19">
        <f t="shared" si="3"/>
        <v>2915.5</v>
      </c>
    </row>
    <row r="35" spans="1:7" x14ac:dyDescent="0.25">
      <c r="A35" s="31"/>
      <c r="B35" s="32" t="s">
        <v>148</v>
      </c>
      <c r="C35" s="19">
        <v>1000</v>
      </c>
      <c r="D35" s="19">
        <f t="shared" si="0"/>
        <v>190</v>
      </c>
      <c r="E35" s="19">
        <f t="shared" si="3"/>
        <v>1190</v>
      </c>
    </row>
    <row r="36" spans="1:7" ht="45" x14ac:dyDescent="0.25">
      <c r="A36" s="31"/>
      <c r="B36" s="33" t="s">
        <v>149</v>
      </c>
      <c r="C36" s="19">
        <v>1450</v>
      </c>
      <c r="D36" s="19">
        <f t="shared" si="0"/>
        <v>275.5</v>
      </c>
      <c r="E36" s="19">
        <f t="shared" si="3"/>
        <v>1725.5</v>
      </c>
    </row>
    <row r="37" spans="1:7" x14ac:dyDescent="0.25">
      <c r="A37" s="31"/>
      <c r="B37" s="32" t="s">
        <v>150</v>
      </c>
      <c r="C37" s="19">
        <v>160000</v>
      </c>
      <c r="D37" s="19">
        <f t="shared" si="0"/>
        <v>30400</v>
      </c>
      <c r="E37" s="19">
        <f t="shared" si="3"/>
        <v>190400</v>
      </c>
    </row>
    <row r="38" spans="1:7" x14ac:dyDescent="0.25">
      <c r="A38" s="55" t="s">
        <v>151</v>
      </c>
      <c r="B38" s="66"/>
      <c r="C38" s="17">
        <f>C33+C30+C29+C22+C21+C20+C19+C15</f>
        <v>296832.35399999999</v>
      </c>
      <c r="D38" s="17">
        <f>D33+D29+D30+D22+D21+D20+D19+D15+0.01</f>
        <v>56398.15726</v>
      </c>
      <c r="E38" s="17">
        <f t="shared" si="3"/>
        <v>353230.51126</v>
      </c>
      <c r="G38" s="24"/>
    </row>
    <row r="39" spans="1:7" x14ac:dyDescent="0.25">
      <c r="A39" s="51" t="s">
        <v>152</v>
      </c>
      <c r="B39" s="64"/>
      <c r="C39" s="64"/>
      <c r="D39" s="64"/>
      <c r="E39" s="65"/>
    </row>
    <row r="40" spans="1:7" x14ac:dyDescent="0.25">
      <c r="A40" s="60" t="s">
        <v>189</v>
      </c>
      <c r="B40" s="67"/>
      <c r="C40" s="67"/>
      <c r="D40" s="67"/>
      <c r="E40" s="68"/>
    </row>
    <row r="41" spans="1:7" x14ac:dyDescent="0.25">
      <c r="A41" s="31" t="s">
        <v>154</v>
      </c>
      <c r="B41" s="35" t="s">
        <v>153</v>
      </c>
      <c r="C41" s="19">
        <v>2709547.02</v>
      </c>
      <c r="D41" s="19">
        <f>C41*0.19+0.01</f>
        <v>514813.94380000001</v>
      </c>
      <c r="E41" s="19">
        <f>C41+D41</f>
        <v>3224360.9638</v>
      </c>
    </row>
    <row r="42" spans="1:7" ht="30" x14ac:dyDescent="0.25">
      <c r="A42" s="31" t="s">
        <v>156</v>
      </c>
      <c r="B42" s="33" t="s">
        <v>155</v>
      </c>
      <c r="C42" s="19">
        <v>0</v>
      </c>
      <c r="D42" s="19">
        <f>C42*0.19</f>
        <v>0</v>
      </c>
      <c r="E42" s="19">
        <f t="shared" ref="E42:E51" si="4">C42+D42</f>
        <v>0</v>
      </c>
    </row>
    <row r="43" spans="1:7" ht="30" x14ac:dyDescent="0.25">
      <c r="A43" s="31" t="s">
        <v>157</v>
      </c>
      <c r="B43" s="33" t="s">
        <v>158</v>
      </c>
      <c r="C43" s="19">
        <v>1732966.23</v>
      </c>
      <c r="D43" s="19">
        <f>C43*0.19</f>
        <v>329263.58370000002</v>
      </c>
      <c r="E43" s="19">
        <f t="shared" si="4"/>
        <v>2062229.8137000001</v>
      </c>
    </row>
    <row r="44" spans="1:7" ht="45" x14ac:dyDescent="0.25">
      <c r="A44" s="31" t="s">
        <v>159</v>
      </c>
      <c r="B44" s="33" t="s">
        <v>160</v>
      </c>
      <c r="C44" s="19">
        <v>0</v>
      </c>
      <c r="D44" s="19">
        <f>C44*0.19</f>
        <v>0</v>
      </c>
      <c r="E44" s="19">
        <f t="shared" si="4"/>
        <v>0</v>
      </c>
    </row>
    <row r="45" spans="1:7" x14ac:dyDescent="0.25">
      <c r="A45" s="31" t="s">
        <v>161</v>
      </c>
      <c r="B45" s="32" t="s">
        <v>163</v>
      </c>
      <c r="C45" s="19">
        <v>0</v>
      </c>
      <c r="D45" s="19">
        <f>C45*0.19</f>
        <v>0</v>
      </c>
      <c r="E45" s="19">
        <f t="shared" si="4"/>
        <v>0</v>
      </c>
    </row>
    <row r="46" spans="1:7" ht="0.75" customHeight="1" x14ac:dyDescent="0.25">
      <c r="A46" s="1"/>
      <c r="B46" s="26" t="s">
        <v>191</v>
      </c>
      <c r="C46" s="16"/>
      <c r="D46" s="16"/>
      <c r="E46" s="16"/>
    </row>
    <row r="47" spans="1:7" hidden="1" x14ac:dyDescent="0.25">
      <c r="A47" s="1"/>
      <c r="B47" s="26" t="s">
        <v>192</v>
      </c>
      <c r="C47" s="16"/>
      <c r="D47" s="16"/>
      <c r="E47" s="16"/>
    </row>
    <row r="48" spans="1:7" hidden="1" x14ac:dyDescent="0.25">
      <c r="A48" s="1"/>
      <c r="B48" s="26" t="s">
        <v>193</v>
      </c>
      <c r="C48" s="16"/>
      <c r="D48" s="16"/>
      <c r="E48" s="16"/>
    </row>
    <row r="49" spans="1:7" hidden="1" x14ac:dyDescent="0.25">
      <c r="A49" s="1"/>
      <c r="B49" s="26" t="s">
        <v>194</v>
      </c>
      <c r="C49" s="16"/>
      <c r="D49" s="16"/>
      <c r="E49" s="16"/>
    </row>
    <row r="50" spans="1:7" hidden="1" x14ac:dyDescent="0.25">
      <c r="A50" s="1" t="s">
        <v>162</v>
      </c>
      <c r="B50" s="9" t="s">
        <v>164</v>
      </c>
      <c r="C50" s="16"/>
      <c r="D50" s="16"/>
      <c r="E50" s="16"/>
    </row>
    <row r="51" spans="1:7" x14ac:dyDescent="0.25">
      <c r="A51" s="55" t="s">
        <v>165</v>
      </c>
      <c r="B51" s="66"/>
      <c r="C51" s="17">
        <f>SUM(C41:C50)</f>
        <v>4442513.25</v>
      </c>
      <c r="D51" s="17">
        <f>SUM(D41:D50)</f>
        <v>844077.52750000008</v>
      </c>
      <c r="E51" s="17">
        <f t="shared" si="4"/>
        <v>5286590.7774999999</v>
      </c>
    </row>
    <row r="52" spans="1:7" x14ac:dyDescent="0.25">
      <c r="A52" s="51" t="s">
        <v>166</v>
      </c>
      <c r="B52" s="64"/>
      <c r="C52" s="64"/>
      <c r="D52" s="64"/>
      <c r="E52" s="65"/>
    </row>
    <row r="53" spans="1:7" x14ac:dyDescent="0.25">
      <c r="A53" s="51" t="s">
        <v>167</v>
      </c>
      <c r="B53" s="64"/>
      <c r="C53" s="64"/>
      <c r="D53" s="64"/>
      <c r="E53" s="65"/>
    </row>
    <row r="54" spans="1:7" ht="30" x14ac:dyDescent="0.25">
      <c r="A54" s="1"/>
      <c r="B54" s="11" t="s">
        <v>170</v>
      </c>
      <c r="C54" s="16">
        <v>35231.440000000002</v>
      </c>
      <c r="D54" s="19">
        <f>C54*0.19</f>
        <v>6693.9736000000003</v>
      </c>
      <c r="E54" s="19">
        <f>C54+D54</f>
        <v>41925.4136</v>
      </c>
    </row>
    <row r="55" spans="1:7" ht="30" x14ac:dyDescent="0.25">
      <c r="A55" s="31"/>
      <c r="B55" s="33" t="s">
        <v>198</v>
      </c>
      <c r="C55" s="34">
        <v>2440</v>
      </c>
      <c r="D55" s="19">
        <f t="shared" ref="D55:D57" si="5">C55*0.19</f>
        <v>463.6</v>
      </c>
      <c r="E55" s="19">
        <f t="shared" ref="E55:E57" si="6">C55+D55</f>
        <v>2903.6</v>
      </c>
    </row>
    <row r="56" spans="1:7" x14ac:dyDescent="0.25">
      <c r="A56" s="31" t="s">
        <v>175</v>
      </c>
      <c r="B56" s="32" t="s">
        <v>202</v>
      </c>
      <c r="C56" s="19">
        <v>398388.39</v>
      </c>
      <c r="D56" s="19">
        <f t="shared" si="5"/>
        <v>75693.794099999999</v>
      </c>
      <c r="E56" s="19">
        <f t="shared" si="6"/>
        <v>474082.18410000001</v>
      </c>
    </row>
    <row r="57" spans="1:7" x14ac:dyDescent="0.25">
      <c r="A57" s="31" t="s">
        <v>177</v>
      </c>
      <c r="B57" s="32" t="s">
        <v>176</v>
      </c>
      <c r="C57" s="19">
        <v>5508.9</v>
      </c>
      <c r="D57" s="19">
        <f t="shared" si="5"/>
        <v>1046.691</v>
      </c>
      <c r="E57" s="19">
        <f t="shared" si="6"/>
        <v>6555.5909999999994</v>
      </c>
    </row>
    <row r="58" spans="1:7" x14ac:dyDescent="0.25">
      <c r="A58" s="70" t="s">
        <v>178</v>
      </c>
      <c r="B58" s="56"/>
      <c r="C58" s="17">
        <f>SUM(C54:C57)</f>
        <v>441568.73000000004</v>
      </c>
      <c r="D58" s="17">
        <f>SUM(D54:D57)</f>
        <v>83898.058700000009</v>
      </c>
      <c r="E58" s="17">
        <f>SUM(E54:E57)</f>
        <v>525466.78870000003</v>
      </c>
    </row>
    <row r="59" spans="1:7" x14ac:dyDescent="0.25">
      <c r="A59" s="49" t="s">
        <v>186</v>
      </c>
      <c r="B59" s="71"/>
      <c r="C59" s="20">
        <f>C38+C51+C58</f>
        <v>5180914.3340000007</v>
      </c>
      <c r="D59" s="20">
        <f>D38+D51+D58+0.01</f>
        <v>984373.75346000015</v>
      </c>
      <c r="E59" s="20">
        <f>E38+E51+E58</f>
        <v>6165288.0774600003</v>
      </c>
      <c r="G59" s="24"/>
    </row>
    <row r="67" spans="2:2" ht="16.5" x14ac:dyDescent="0.25">
      <c r="B67" s="38"/>
    </row>
    <row r="68" spans="2:2" x14ac:dyDescent="0.25">
      <c r="B68" s="39" t="s">
        <v>208</v>
      </c>
    </row>
    <row r="69" spans="2:2" x14ac:dyDescent="0.25">
      <c r="B69" s="39" t="s">
        <v>209</v>
      </c>
    </row>
    <row r="70" spans="2:2" x14ac:dyDescent="0.25">
      <c r="B70" s="39" t="s">
        <v>210</v>
      </c>
    </row>
    <row r="71" spans="2:2" x14ac:dyDescent="0.25">
      <c r="B71" s="40" t="s">
        <v>211</v>
      </c>
    </row>
  </sheetData>
  <mergeCells count="12">
    <mergeCell ref="A4:E4"/>
    <mergeCell ref="A2:E2"/>
    <mergeCell ref="A58:B58"/>
    <mergeCell ref="A59:B59"/>
    <mergeCell ref="A38:B38"/>
    <mergeCell ref="A39:E39"/>
    <mergeCell ref="A40:E40"/>
    <mergeCell ref="A51:B51"/>
    <mergeCell ref="A52:E52"/>
    <mergeCell ref="A53:E53"/>
    <mergeCell ref="A13:E13"/>
    <mergeCell ref="A14:E14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tabSelected="1" zoomScaleNormal="100" workbookViewId="0">
      <selection activeCell="L28" sqref="L28"/>
    </sheetView>
  </sheetViews>
  <sheetFormatPr defaultRowHeight="15" x14ac:dyDescent="0.2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1.7109375" style="24" bestFit="1" customWidth="1"/>
    <col min="9" max="9" width="10.140625" bestFit="1" customWidth="1"/>
    <col min="10" max="10" width="11.7109375" bestFit="1" customWidth="1"/>
    <col min="11" max="11" width="11.7109375" style="24" bestFit="1" customWidth="1"/>
    <col min="12" max="12" width="13" style="24" customWidth="1"/>
    <col min="13" max="16" width="11.7109375" style="24" bestFit="1" customWidth="1"/>
    <col min="17" max="17" width="10.140625" style="24" bestFit="1" customWidth="1"/>
    <col min="18" max="18" width="11.7109375" bestFit="1" customWidth="1"/>
    <col min="19" max="19" width="11.7109375" style="24" bestFit="1" customWidth="1"/>
    <col min="20" max="20" width="9.140625" style="24"/>
    <col min="21" max="21" width="10.140625" style="24" bestFit="1" customWidth="1"/>
  </cols>
  <sheetData>
    <row r="2" spans="1:18" x14ac:dyDescent="0.25">
      <c r="A2" s="76" t="s">
        <v>212</v>
      </c>
      <c r="B2" s="76"/>
      <c r="C2" s="76"/>
      <c r="D2" s="76"/>
      <c r="E2" s="76"/>
    </row>
    <row r="4" spans="1:18" ht="36" customHeight="1" x14ac:dyDescent="0.25">
      <c r="A4" s="72" t="s">
        <v>207</v>
      </c>
      <c r="B4" s="72"/>
      <c r="C4" s="72"/>
      <c r="D4" s="72"/>
      <c r="E4" s="72"/>
    </row>
    <row r="8" spans="1:18" ht="45.75" customHeight="1" x14ac:dyDescent="0.25">
      <c r="A8" s="1" t="s">
        <v>101</v>
      </c>
      <c r="B8" s="5" t="s">
        <v>100</v>
      </c>
      <c r="C8" s="15" t="s">
        <v>104</v>
      </c>
      <c r="D8" s="15" t="s">
        <v>102</v>
      </c>
      <c r="E8" s="15" t="s">
        <v>103</v>
      </c>
    </row>
    <row r="9" spans="1:18" x14ac:dyDescent="0.25">
      <c r="A9" s="1">
        <v>1</v>
      </c>
      <c r="B9" s="6">
        <v>2</v>
      </c>
      <c r="C9" s="29">
        <v>3</v>
      </c>
      <c r="D9" s="29">
        <v>4</v>
      </c>
      <c r="E9" s="29">
        <v>5</v>
      </c>
    </row>
    <row r="10" spans="1:18" x14ac:dyDescent="0.25">
      <c r="A10" s="2" t="s">
        <v>105</v>
      </c>
      <c r="B10" s="6"/>
      <c r="C10" s="16"/>
      <c r="D10" s="16"/>
      <c r="E10" s="16"/>
    </row>
    <row r="11" spans="1:18" x14ac:dyDescent="0.25">
      <c r="A11" s="8" t="s">
        <v>106</v>
      </c>
      <c r="B11" s="9"/>
      <c r="C11" s="16"/>
      <c r="D11" s="16"/>
      <c r="E11" s="16"/>
    </row>
    <row r="12" spans="1:18" x14ac:dyDescent="0.25">
      <c r="A12" s="3" t="s">
        <v>108</v>
      </c>
      <c r="B12" s="6" t="s">
        <v>107</v>
      </c>
      <c r="C12" s="16">
        <v>0</v>
      </c>
      <c r="D12" s="16"/>
      <c r="E12" s="16"/>
    </row>
    <row r="13" spans="1:18" x14ac:dyDescent="0.25">
      <c r="A13" s="1" t="s">
        <v>109</v>
      </c>
      <c r="B13" s="6" t="s">
        <v>112</v>
      </c>
      <c r="C13" s="16">
        <v>0</v>
      </c>
      <c r="D13" s="16">
        <f>C13*0.19</f>
        <v>0</v>
      </c>
      <c r="E13" s="16">
        <f>C13+D13</f>
        <v>0</v>
      </c>
    </row>
    <row r="14" spans="1:18" ht="27.75" customHeight="1" x14ac:dyDescent="0.25">
      <c r="A14" s="1" t="s">
        <v>110</v>
      </c>
      <c r="B14" s="5" t="s">
        <v>113</v>
      </c>
      <c r="C14" s="16">
        <v>22712.78</v>
      </c>
      <c r="D14" s="16">
        <f>C14*0.19</f>
        <v>4315.4281999999994</v>
      </c>
      <c r="E14" s="16">
        <f>C14+D14</f>
        <v>27028.208199999997</v>
      </c>
    </row>
    <row r="15" spans="1:18" ht="28.5" customHeight="1" x14ac:dyDescent="0.25">
      <c r="A15" s="1" t="s">
        <v>111</v>
      </c>
      <c r="B15" s="5" t="s">
        <v>114</v>
      </c>
      <c r="C15" s="16">
        <v>0</v>
      </c>
      <c r="D15" s="16">
        <f>C15*0.19</f>
        <v>0</v>
      </c>
      <c r="E15" s="16"/>
    </row>
    <row r="16" spans="1:18" x14ac:dyDescent="0.25">
      <c r="A16" s="63" t="s">
        <v>115</v>
      </c>
      <c r="B16" s="56"/>
      <c r="C16" s="17">
        <f>SUM(C12:C15)</f>
        <v>22712.78</v>
      </c>
      <c r="D16" s="17">
        <f>C16*0.19</f>
        <v>4315.4281999999994</v>
      </c>
      <c r="E16" s="17">
        <f>C16+D16</f>
        <v>27028.208199999997</v>
      </c>
      <c r="R16" s="24"/>
    </row>
    <row r="17" spans="1:18" x14ac:dyDescent="0.25">
      <c r="A17" s="51" t="s">
        <v>116</v>
      </c>
      <c r="B17" s="64"/>
      <c r="C17" s="64"/>
      <c r="D17" s="64"/>
      <c r="E17" s="65"/>
    </row>
    <row r="18" spans="1:18" x14ac:dyDescent="0.25">
      <c r="A18" s="51" t="s">
        <v>117</v>
      </c>
      <c r="B18" s="64"/>
      <c r="C18" s="64"/>
      <c r="D18" s="64"/>
      <c r="E18" s="65"/>
    </row>
    <row r="19" spans="1:18" x14ac:dyDescent="0.25">
      <c r="A19" s="63" t="s">
        <v>118</v>
      </c>
      <c r="B19" s="56"/>
      <c r="C19" s="17">
        <v>200000</v>
      </c>
      <c r="D19" s="17">
        <f>C19*0.19</f>
        <v>38000</v>
      </c>
      <c r="E19" s="17">
        <f>C19+D19</f>
        <v>238000</v>
      </c>
    </row>
    <row r="20" spans="1:18" x14ac:dyDescent="0.25">
      <c r="A20" s="51" t="s">
        <v>119</v>
      </c>
      <c r="B20" s="64"/>
      <c r="C20" s="64"/>
      <c r="D20" s="64"/>
      <c r="E20" s="65"/>
    </row>
    <row r="21" spans="1:18" x14ac:dyDescent="0.25">
      <c r="A21" s="51" t="s">
        <v>124</v>
      </c>
      <c r="B21" s="64"/>
      <c r="C21" s="64"/>
      <c r="D21" s="64"/>
      <c r="E21" s="65"/>
      <c r="R21" s="24"/>
    </row>
    <row r="22" spans="1:18" x14ac:dyDescent="0.25">
      <c r="A22" s="31" t="s">
        <v>128</v>
      </c>
      <c r="B22" s="32" t="s">
        <v>131</v>
      </c>
      <c r="C22" s="19">
        <v>54117.654000000002</v>
      </c>
      <c r="D22" s="19">
        <f t="shared" ref="D22" si="0">C22*0.19</f>
        <v>10282.35426</v>
      </c>
      <c r="E22" s="19">
        <f>C22+D22-0.01</f>
        <v>64399.99826</v>
      </c>
    </row>
    <row r="23" spans="1:18" x14ac:dyDescent="0.25">
      <c r="A23" s="55" t="s">
        <v>151</v>
      </c>
      <c r="B23" s="66"/>
      <c r="C23" s="17">
        <f>SUM(C22:C22)</f>
        <v>54117.654000000002</v>
      </c>
      <c r="D23" s="17">
        <f>SUM(D22)</f>
        <v>10282.35426</v>
      </c>
      <c r="E23" s="17">
        <f>C23+D23-0.01</f>
        <v>64399.99826</v>
      </c>
      <c r="G23" s="24"/>
    </row>
    <row r="24" spans="1:18" x14ac:dyDescent="0.25">
      <c r="A24" s="51" t="s">
        <v>166</v>
      </c>
      <c r="B24" s="64"/>
      <c r="C24" s="64"/>
      <c r="D24" s="64"/>
      <c r="E24" s="65"/>
    </row>
    <row r="25" spans="1:18" x14ac:dyDescent="0.25">
      <c r="A25" s="51" t="s">
        <v>167</v>
      </c>
      <c r="B25" s="64"/>
      <c r="C25" s="64"/>
      <c r="D25" s="64"/>
      <c r="E25" s="65"/>
      <c r="H25" s="24">
        <f>C16+C19+C23+C32</f>
        <v>328225.29399999999</v>
      </c>
      <c r="J25" s="24">
        <f>'Cheltuieli eligibile'!C59</f>
        <v>5180914.3340000007</v>
      </c>
      <c r="L25" s="24">
        <f>H25+J25-0.01</f>
        <v>5509139.6180000007</v>
      </c>
    </row>
    <row r="26" spans="1:18" x14ac:dyDescent="0.25">
      <c r="A26" s="1"/>
      <c r="B26" s="9" t="s">
        <v>171</v>
      </c>
      <c r="C26" s="16">
        <v>18752.45</v>
      </c>
      <c r="D26" s="19">
        <f>C26*0.19</f>
        <v>3562.9655000000002</v>
      </c>
      <c r="E26" s="19">
        <f>C26+D26</f>
        <v>22315.415500000003</v>
      </c>
      <c r="H26" s="24">
        <f>D16+D19+D23+D32</f>
        <v>56160.747960000001</v>
      </c>
      <c r="J26" s="24">
        <f>'Cheltuieli eligibile'!D59</f>
        <v>984373.75346000015</v>
      </c>
      <c r="L26" s="24">
        <f>H26+J26+0.01</f>
        <v>1040534.5114200001</v>
      </c>
    </row>
    <row r="27" spans="1:18" x14ac:dyDescent="0.25">
      <c r="A27" s="1" t="s">
        <v>173</v>
      </c>
      <c r="B27" s="32" t="s">
        <v>172</v>
      </c>
      <c r="C27" s="19">
        <f>SUM(C28:C31)</f>
        <v>32642.409999999996</v>
      </c>
      <c r="D27" s="19">
        <f>SUM(D28:D31)</f>
        <v>0</v>
      </c>
      <c r="E27" s="19">
        <f>SUM(E28:E31)</f>
        <v>32642.409999999996</v>
      </c>
      <c r="H27" s="24">
        <f>E33</f>
        <v>384386.04196</v>
      </c>
      <c r="J27" s="24">
        <f>'Cheltuieli eligibile'!E59</f>
        <v>6165288.0774600003</v>
      </c>
      <c r="L27" s="24">
        <f>H27+J27</f>
        <v>6549674.1194200004</v>
      </c>
    </row>
    <row r="28" spans="1:18" ht="30" x14ac:dyDescent="0.25">
      <c r="A28" s="1"/>
      <c r="B28" s="11" t="s">
        <v>174</v>
      </c>
      <c r="C28" s="19">
        <v>0</v>
      </c>
      <c r="D28" s="19">
        <v>0</v>
      </c>
      <c r="E28" s="19">
        <v>0</v>
      </c>
    </row>
    <row r="29" spans="1:18" ht="30" x14ac:dyDescent="0.25">
      <c r="A29" s="1"/>
      <c r="B29" s="11" t="s">
        <v>195</v>
      </c>
      <c r="C29" s="19">
        <v>14837.46</v>
      </c>
      <c r="D29" s="19"/>
      <c r="E29" s="19">
        <f>C29</f>
        <v>14837.46</v>
      </c>
    </row>
    <row r="30" spans="1:18" ht="45" x14ac:dyDescent="0.25">
      <c r="A30" s="1"/>
      <c r="B30" s="11" t="s">
        <v>196</v>
      </c>
      <c r="C30" s="19">
        <v>2967.49</v>
      </c>
      <c r="D30" s="19"/>
      <c r="E30" s="19">
        <f>C30</f>
        <v>2967.49</v>
      </c>
    </row>
    <row r="31" spans="1:18" x14ac:dyDescent="0.25">
      <c r="A31" s="1"/>
      <c r="B31" s="11" t="s">
        <v>197</v>
      </c>
      <c r="C31" s="19">
        <v>14837.46</v>
      </c>
      <c r="D31" s="19"/>
      <c r="E31" s="19">
        <f>C31</f>
        <v>14837.46</v>
      </c>
    </row>
    <row r="32" spans="1:18" x14ac:dyDescent="0.25">
      <c r="A32" s="70" t="s">
        <v>178</v>
      </c>
      <c r="B32" s="56"/>
      <c r="C32" s="17">
        <f>C27+C26</f>
        <v>51394.86</v>
      </c>
      <c r="D32" s="17">
        <f>SUM(D26:D31)</f>
        <v>3562.9655000000002</v>
      </c>
      <c r="E32" s="17">
        <f>E27+E26</f>
        <v>54957.825499999999</v>
      </c>
    </row>
    <row r="33" spans="1:7" x14ac:dyDescent="0.25">
      <c r="A33" s="49" t="s">
        <v>186</v>
      </c>
      <c r="B33" s="71"/>
      <c r="C33" s="20">
        <f>C16+C19+C23+C32</f>
        <v>328225.29399999999</v>
      </c>
      <c r="D33" s="20">
        <f>D16+D19+D23+D32</f>
        <v>56160.747960000001</v>
      </c>
      <c r="E33" s="20">
        <f>E16+E19+E23+E32+0.01</f>
        <v>384386.04196</v>
      </c>
    </row>
    <row r="36" spans="1:7" ht="16.5" x14ac:dyDescent="0.25">
      <c r="B36" s="38"/>
    </row>
    <row r="37" spans="1:7" x14ac:dyDescent="0.25">
      <c r="B37" s="39" t="s">
        <v>208</v>
      </c>
    </row>
    <row r="38" spans="1:7" x14ac:dyDescent="0.25">
      <c r="B38" s="39" t="s">
        <v>209</v>
      </c>
      <c r="G38" s="24"/>
    </row>
    <row r="39" spans="1:7" x14ac:dyDescent="0.25">
      <c r="B39" s="39" t="s">
        <v>210</v>
      </c>
    </row>
    <row r="40" spans="1:7" x14ac:dyDescent="0.25">
      <c r="B40" s="40" t="s">
        <v>211</v>
      </c>
    </row>
  </sheetData>
  <mergeCells count="13">
    <mergeCell ref="A33:B33"/>
    <mergeCell ref="A4:E4"/>
    <mergeCell ref="A2:E2"/>
    <mergeCell ref="A16:B16"/>
    <mergeCell ref="A17:E17"/>
    <mergeCell ref="A18:E18"/>
    <mergeCell ref="A19:B19"/>
    <mergeCell ref="A20:E20"/>
    <mergeCell ref="A21:E21"/>
    <mergeCell ref="A23:B23"/>
    <mergeCell ref="A24:E24"/>
    <mergeCell ref="A25:E25"/>
    <mergeCell ref="A32:B3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5"/>
  <sheetViews>
    <sheetView topLeftCell="A22" workbookViewId="0">
      <selection activeCell="E25" sqref="E25"/>
    </sheetView>
  </sheetViews>
  <sheetFormatPr defaultRowHeight="15" x14ac:dyDescent="0.25"/>
  <cols>
    <col min="2" max="2" width="12.42578125" style="24" customWidth="1"/>
    <col min="5" max="5" width="11.7109375" style="24" bestFit="1" customWidth="1"/>
  </cols>
  <sheetData>
    <row r="4" spans="2:5" x14ac:dyDescent="0.25">
      <c r="B4" s="24">
        <v>48403.6</v>
      </c>
      <c r="E4" s="24">
        <v>95019.86</v>
      </c>
    </row>
    <row r="5" spans="2:5" x14ac:dyDescent="0.25">
      <c r="B5" s="24">
        <v>315722.90000000002</v>
      </c>
      <c r="E5" s="24">
        <v>337436.7</v>
      </c>
    </row>
    <row r="6" spans="2:5" x14ac:dyDescent="0.25">
      <c r="B6" s="24">
        <v>6315</v>
      </c>
      <c r="E6" s="24">
        <v>7930.8</v>
      </c>
    </row>
    <row r="7" spans="2:5" x14ac:dyDescent="0.25">
      <c r="B7" s="24">
        <v>9868.7999999999993</v>
      </c>
      <c r="E7" s="24">
        <v>85912.2</v>
      </c>
    </row>
    <row r="8" spans="2:5" x14ac:dyDescent="0.25">
      <c r="B8" s="24">
        <v>44563.7</v>
      </c>
      <c r="E8" s="24">
        <v>108607.93</v>
      </c>
    </row>
    <row r="9" spans="2:5" x14ac:dyDescent="0.25">
      <c r="B9" s="24">
        <v>21849.599999999999</v>
      </c>
      <c r="E9" s="24">
        <v>31817.77</v>
      </c>
    </row>
    <row r="10" spans="2:5" x14ac:dyDescent="0.25">
      <c r="B10" s="24">
        <v>23198.799999999999</v>
      </c>
      <c r="E10" s="24">
        <v>28046.23</v>
      </c>
    </row>
    <row r="11" spans="2:5" x14ac:dyDescent="0.25">
      <c r="B11" s="24">
        <v>11271.7</v>
      </c>
      <c r="E11" s="24">
        <v>36815.129999999997</v>
      </c>
    </row>
    <row r="12" spans="2:5" x14ac:dyDescent="0.25">
      <c r="B12" s="24">
        <v>41212.800000000003</v>
      </c>
      <c r="E12" s="24">
        <v>137828.51999999999</v>
      </c>
    </row>
    <row r="13" spans="2:5" x14ac:dyDescent="0.25">
      <c r="B13" s="24">
        <v>3284.6</v>
      </c>
      <c r="E13" s="24">
        <v>5698.66</v>
      </c>
    </row>
    <row r="14" spans="2:5" x14ac:dyDescent="0.25">
      <c r="B14" s="24">
        <v>13402.9</v>
      </c>
      <c r="E14" s="24">
        <v>28901.39</v>
      </c>
    </row>
    <row r="15" spans="2:5" x14ac:dyDescent="0.25">
      <c r="B15" s="24">
        <v>2192.4</v>
      </c>
      <c r="E15" s="24">
        <v>2846.3</v>
      </c>
    </row>
    <row r="16" spans="2:5" x14ac:dyDescent="0.25">
      <c r="B16" s="24">
        <v>6297</v>
      </c>
      <c r="E16" s="24">
        <v>11503.59</v>
      </c>
    </row>
    <row r="17" spans="2:5" x14ac:dyDescent="0.25">
      <c r="B17" s="24">
        <v>21593.599999999999</v>
      </c>
      <c r="E17" s="24">
        <v>31292.240000000002</v>
      </c>
    </row>
    <row r="18" spans="2:5" x14ac:dyDescent="0.25">
      <c r="B18" s="24">
        <v>9734.7000000000007</v>
      </c>
      <c r="E18" s="24">
        <v>14106.51</v>
      </c>
    </row>
    <row r="19" spans="2:5" x14ac:dyDescent="0.25">
      <c r="B19" s="24">
        <v>16249.95</v>
      </c>
      <c r="E19" s="24">
        <v>27210</v>
      </c>
    </row>
    <row r="20" spans="2:5" x14ac:dyDescent="0.25">
      <c r="B20" s="24">
        <v>20526</v>
      </c>
      <c r="E20" s="24">
        <v>64378.8</v>
      </c>
    </row>
    <row r="21" spans="2:5" x14ac:dyDescent="0.25">
      <c r="B21" s="24">
        <v>206891.8</v>
      </c>
      <c r="E21" s="24">
        <v>259760.7</v>
      </c>
    </row>
    <row r="22" spans="2:5" x14ac:dyDescent="0.25">
      <c r="B22" s="24">
        <v>10327</v>
      </c>
      <c r="E22" s="24">
        <v>11061.1</v>
      </c>
    </row>
    <row r="23" spans="2:5" x14ac:dyDescent="0.25">
      <c r="B23" s="24">
        <v>8418</v>
      </c>
      <c r="E23" s="24">
        <v>9345.67</v>
      </c>
    </row>
    <row r="24" spans="2:5" x14ac:dyDescent="0.25">
      <c r="B24" s="24">
        <v>36978.1</v>
      </c>
      <c r="E24" s="24">
        <v>39796.199999999997</v>
      </c>
    </row>
    <row r="25" spans="2:5" x14ac:dyDescent="0.25">
      <c r="B25" s="24">
        <v>7500.9</v>
      </c>
      <c r="E25" s="24">
        <v>8621.6299999999992</v>
      </c>
    </row>
    <row r="26" spans="2:5" x14ac:dyDescent="0.25">
      <c r="B26" s="24">
        <v>40595.5</v>
      </c>
      <c r="E26" s="24">
        <v>42853.43</v>
      </c>
    </row>
    <row r="27" spans="2:5" x14ac:dyDescent="0.25">
      <c r="B27" s="24">
        <v>4348.5</v>
      </c>
      <c r="E27" s="24">
        <v>8643.17</v>
      </c>
    </row>
    <row r="28" spans="2:5" x14ac:dyDescent="0.25">
      <c r="B28" s="24">
        <v>3577.5</v>
      </c>
      <c r="E28" s="24">
        <v>9352.5</v>
      </c>
    </row>
    <row r="29" spans="2:5" x14ac:dyDescent="0.25">
      <c r="B29" s="24">
        <v>9405.2999999999993</v>
      </c>
      <c r="E29" s="24">
        <v>27902.37</v>
      </c>
    </row>
    <row r="30" spans="2:5" x14ac:dyDescent="0.25">
      <c r="B30" s="24">
        <v>1299.3</v>
      </c>
      <c r="E30" s="24">
        <v>8063.13</v>
      </c>
    </row>
    <row r="31" spans="2:5" x14ac:dyDescent="0.25">
      <c r="B31" s="24">
        <v>2222.6999999999998</v>
      </c>
      <c r="E31" s="24">
        <v>4131.8</v>
      </c>
    </row>
    <row r="32" spans="2:5" x14ac:dyDescent="0.25">
      <c r="B32" s="24">
        <v>4303.7</v>
      </c>
      <c r="E32" s="24">
        <v>8794.33</v>
      </c>
    </row>
    <row r="33" spans="2:5" x14ac:dyDescent="0.25">
      <c r="B33" s="24">
        <v>2650</v>
      </c>
      <c r="E33" s="24">
        <v>3425.24</v>
      </c>
    </row>
    <row r="34" spans="2:5" x14ac:dyDescent="0.25">
      <c r="B34" s="24">
        <v>1844.5</v>
      </c>
      <c r="E34" s="24">
        <v>2430.4</v>
      </c>
    </row>
    <row r="35" spans="2:5" x14ac:dyDescent="0.25">
      <c r="B35" s="24">
        <v>2158.1</v>
      </c>
      <c r="E35" s="24">
        <v>2854.7</v>
      </c>
    </row>
    <row r="36" spans="2:5" x14ac:dyDescent="0.25">
      <c r="B36" s="24">
        <v>1589.9</v>
      </c>
      <c r="E36" s="24">
        <v>1865.03</v>
      </c>
    </row>
    <row r="37" spans="2:5" x14ac:dyDescent="0.25">
      <c r="B37" s="24">
        <v>3054</v>
      </c>
      <c r="E37" s="24">
        <v>3365.08</v>
      </c>
    </row>
    <row r="38" spans="2:5" x14ac:dyDescent="0.25">
      <c r="B38" s="24">
        <v>7816.4</v>
      </c>
      <c r="E38" s="24">
        <v>13263.74</v>
      </c>
    </row>
    <row r="39" spans="2:5" x14ac:dyDescent="0.25">
      <c r="B39" s="24">
        <v>2146.1999999999998</v>
      </c>
      <c r="E39" s="24">
        <v>4420.53</v>
      </c>
    </row>
    <row r="40" spans="2:5" x14ac:dyDescent="0.25">
      <c r="B40" s="24">
        <v>6989.7</v>
      </c>
      <c r="E40" s="24">
        <v>10871.23</v>
      </c>
    </row>
    <row r="41" spans="2:5" x14ac:dyDescent="0.25">
      <c r="B41" s="24">
        <v>737.4</v>
      </c>
      <c r="E41" s="24">
        <v>1693.47</v>
      </c>
    </row>
    <row r="42" spans="2:5" x14ac:dyDescent="0.25">
      <c r="B42" s="24">
        <v>3908.2</v>
      </c>
      <c r="E42" s="24">
        <v>4653.93</v>
      </c>
    </row>
    <row r="43" spans="2:5" x14ac:dyDescent="0.25">
      <c r="B43" s="24">
        <v>3908.2</v>
      </c>
      <c r="E43" s="24">
        <v>4943.87</v>
      </c>
    </row>
    <row r="44" spans="2:5" x14ac:dyDescent="0.25">
      <c r="B44" s="24">
        <v>3908.2</v>
      </c>
      <c r="E44" s="24">
        <v>4653.93</v>
      </c>
    </row>
    <row r="45" spans="2:5" x14ac:dyDescent="0.25">
      <c r="B45" s="24">
        <v>3908.2</v>
      </c>
      <c r="E45" s="24">
        <v>6747.77</v>
      </c>
    </row>
    <row r="46" spans="2:5" x14ac:dyDescent="0.25">
      <c r="B46" s="24">
        <v>8419.5</v>
      </c>
      <c r="E46" s="24">
        <v>13564.33</v>
      </c>
    </row>
    <row r="47" spans="2:5" x14ac:dyDescent="0.25">
      <c r="B47" s="24">
        <v>4155.5</v>
      </c>
      <c r="E47" s="24">
        <v>13341.97</v>
      </c>
    </row>
    <row r="48" spans="2:5" x14ac:dyDescent="0.25">
      <c r="B48" s="24">
        <v>3908.2</v>
      </c>
      <c r="E48" s="24">
        <v>4653.93</v>
      </c>
    </row>
    <row r="49" spans="2:5" x14ac:dyDescent="0.25">
      <c r="B49" s="24">
        <v>3398.43</v>
      </c>
      <c r="E49" s="24">
        <v>6747.77</v>
      </c>
    </row>
    <row r="50" spans="2:5" x14ac:dyDescent="0.25">
      <c r="B50" s="24">
        <v>3908.2</v>
      </c>
      <c r="E50" s="24">
        <v>12414.4</v>
      </c>
    </row>
    <row r="51" spans="2:5" x14ac:dyDescent="0.25">
      <c r="B51" s="24">
        <v>5841.5</v>
      </c>
      <c r="E51" s="24">
        <v>21783.67</v>
      </c>
    </row>
    <row r="52" spans="2:5" x14ac:dyDescent="0.25">
      <c r="B52" s="24">
        <v>11500</v>
      </c>
      <c r="E52" s="24">
        <v>16253.33</v>
      </c>
    </row>
    <row r="53" spans="2:5" x14ac:dyDescent="0.25">
      <c r="B53" s="24">
        <v>415235.5</v>
      </c>
      <c r="E53" s="24">
        <v>85000</v>
      </c>
    </row>
    <row r="54" spans="2:5" x14ac:dyDescent="0.25">
      <c r="B54" s="24">
        <v>339.25</v>
      </c>
      <c r="E54" s="24">
        <v>339.25</v>
      </c>
    </row>
    <row r="55" spans="2:5" x14ac:dyDescent="0.25">
      <c r="B55" s="24">
        <f>SUM(B4:B54)</f>
        <v>1452881.4299999997</v>
      </c>
      <c r="E55" s="24">
        <f>SUM(E4:E54)</f>
        <v>1732966.2299999997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9</vt:i4>
      </vt:variant>
      <vt:variant>
        <vt:lpstr>Zone denumite</vt:lpstr>
      </vt:variant>
      <vt:variant>
        <vt:i4>2</vt:i4>
      </vt:variant>
    </vt:vector>
  </HeadingPairs>
  <TitlesOfParts>
    <vt:vector size="11" baseType="lpstr">
      <vt:lpstr>Foaie1</vt:lpstr>
      <vt:lpstr>Foaie2</vt:lpstr>
      <vt:lpstr>Obelisc</vt:lpstr>
      <vt:lpstr>CMJ</vt:lpstr>
      <vt:lpstr>DGASPC Sighi</vt:lpstr>
      <vt:lpstr>Eficientizare</vt:lpstr>
      <vt:lpstr>Cheltuieli eligibile</vt:lpstr>
      <vt:lpstr>Cheltuieli neeligibile</vt:lpstr>
      <vt:lpstr>Utilaje</vt:lpstr>
      <vt:lpstr>'Cheltuieli neeligibile'!Zona_de_imprimat</vt:lpstr>
      <vt:lpstr>Eficientizare!Zona_de_imprimat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Ene.Gabriela</dc:creator>
  <cp:lastModifiedBy>Miklos Kinga</cp:lastModifiedBy>
  <cp:lastPrinted>2021-10-14T12:21:27Z</cp:lastPrinted>
  <dcterms:created xsi:type="dcterms:W3CDTF">2018-12-18T14:51:32Z</dcterms:created>
  <dcterms:modified xsi:type="dcterms:W3CDTF">2021-10-14T12:33:43Z</dcterms:modified>
</cp:coreProperties>
</file>