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investitii" sheetId="1" r:id="rId1"/>
  </sheets>
  <definedNames>
    <definedName name="_xlnm.Print_Titles" localSheetId="0">'investitii'!$2:$5</definedName>
  </definedNames>
  <calcPr fullCalcOnLoad="1"/>
</workbook>
</file>

<file path=xl/sharedStrings.xml><?xml version="1.0" encoding="utf-8"?>
<sst xmlns="http://schemas.openxmlformats.org/spreadsheetml/2006/main" count="402" uniqueCount="230">
  <si>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</si>
  <si>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</si>
  <si>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</si>
  <si>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</si>
  <si>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</si>
  <si>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</si>
  <si>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</si>
  <si>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</si>
  <si>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</si>
  <si>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</si>
  <si>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</si>
  <si>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</si>
  <si>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</si>
  <si>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</si>
  <si>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</si>
  <si>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</si>
  <si>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</si>
  <si>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</si>
  <si>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</si>
  <si>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</si>
  <si>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</si>
  <si>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</si>
  <si>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</si>
  <si>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C</t>
  </si>
  <si>
    <t>c</t>
  </si>
  <si>
    <t>LUCRĂRI NOI</t>
  </si>
  <si>
    <t>B</t>
  </si>
  <si>
    <t>Server</t>
  </si>
  <si>
    <t>Dotări independente</t>
  </si>
  <si>
    <t>b</t>
  </si>
  <si>
    <t>Multifuncţional</t>
  </si>
  <si>
    <t>Calculatoare - 3 buc.</t>
  </si>
  <si>
    <t>Compresor</t>
  </si>
  <si>
    <t>Tripod</t>
  </si>
  <si>
    <t>Sonar</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</si>
  <si>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</si>
  <si>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</si>
  <si>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</si>
  <si>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</si>
  <si>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</si>
  <si>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</si>
  <si>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</si>
  <si>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</si>
  <si>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</si>
  <si>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</si>
  <si>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</si>
  <si>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</si>
  <si>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</si>
  <si>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</si>
  <si>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</si>
  <si>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</si>
  <si>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</si>
  <si>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</si>
  <si>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</si>
  <si>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</si>
  <si>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</si>
  <si>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</si>
  <si>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</si>
  <si>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</si>
  <si>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</si>
  <si>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</si>
  <si>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</si>
  <si>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t>
  </si>
  <si>
    <t>Amenajarea unei uscătorii acoperite - CIA Căpuş</t>
  </si>
  <si>
    <t>Acoperirea terasei - CRCDN str. Strâmbă nr. 30</t>
  </si>
  <si>
    <t>Montare cabană SEC</t>
  </si>
  <si>
    <t>Amenajarea garajului pentru spălătorie - CRCDN Ceuaşu de Cîmpie nr. 215</t>
  </si>
  <si>
    <t>Maşină de spălat industrială - 50 kg - CIA Glodeni</t>
  </si>
  <si>
    <t>Aspiratoare profesionale - 2 buc - CSCDN Sighişoara</t>
  </si>
  <si>
    <t>Mobilier pentru Corp D - CIA Lunca Mureşului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</si>
  <si>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</si>
  <si>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</si>
  <si>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</si>
  <si>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</si>
  <si>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</si>
  <si>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</si>
  <si>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</si>
  <si>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</si>
  <si>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</si>
  <si>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</si>
  <si>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</si>
  <si>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</si>
  <si>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</si>
  <si>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</si>
  <si>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</si>
  <si>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</si>
  <si>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</si>
  <si>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</si>
  <si>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</si>
  <si>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</si>
  <si>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</si>
  <si>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</si>
  <si>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</si>
  <si>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</si>
  <si>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</si>
  <si>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</si>
  <si>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</si>
  <si>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</si>
  <si>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</si>
  <si>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</si>
  <si>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</si>
  <si>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</si>
  <si>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</si>
  <si>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Diferite proiecte pentru : Centrul Sf. Maria Brancovenesti, Centrul Primula Brancovenesti, Balcoana\e la CTF Reghin, Incalzire centrala CRRN Reghin, Proiect gaz LP Capus,  Scara interioara SIRU, Mansardare CRCDN Treblt 3, CRCDN Ceuas, Mansardare CSCDN Sig</t>
  </si>
  <si>
    <t>Proiect tehnic extindere pistă la 2400 m/45 m</t>
  </si>
  <si>
    <t>Studiu de fezabilitate (SF) pentru reabilitare  clădire Şcoala de Arte Tîrgu Mureş</t>
  </si>
  <si>
    <t>SF+PT Complex "Parc"</t>
  </si>
  <si>
    <t>Avize pentru Complex "Parc"</t>
  </si>
  <si>
    <t>PT pentru lucrări de reparaţii la sediul administrativ</t>
  </si>
  <si>
    <t>SF+PT drum de acces la depozitul de deşeuri comuna Sânpaul</t>
  </si>
  <si>
    <t>PT refuncţionalizare fluxuri aerogară internă pentru zboruri NON Schengen</t>
  </si>
  <si>
    <t>a</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</si>
  <si>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</si>
  <si>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</si>
  <si>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</si>
  <si>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</si>
  <si>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</si>
  <si>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</si>
  <si>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e</t>
  </si>
  <si>
    <t xml:space="preserve">Achiziţie teren pentru drum acces la depozit ecologic zonal </t>
  </si>
  <si>
    <t xml:space="preserve">Achiziţii de teren pentru RA AEROPORT TRANSILVANIA Tg. Mureş (extindere pistă) </t>
  </si>
  <si>
    <t>SF CRRN Primula Brâncoveneşti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</si>
  <si>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</si>
  <si>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</si>
  <si>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</si>
  <si>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</si>
  <si>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</si>
  <si>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</si>
  <si>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</si>
  <si>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cap.51</t>
  </si>
  <si>
    <t>cap.67</t>
  </si>
  <si>
    <t>cap.70</t>
  </si>
  <si>
    <t>cap.74</t>
  </si>
  <si>
    <t>cap. 84</t>
  </si>
  <si>
    <t>cap.54</t>
  </si>
  <si>
    <t>cap.65</t>
  </si>
  <si>
    <t>CENTRUL ŞCOLAR PENTRU EDUCAŢIE INCLUZIVĂ NR.3 REGHIN 
total din care:</t>
  </si>
  <si>
    <t>cap.68</t>
  </si>
  <si>
    <t>cap.84</t>
  </si>
  <si>
    <t>Alte cheltuieli asimilate investiţiilor</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</si>
  <si>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</si>
  <si>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</si>
  <si>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</si>
  <si>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</si>
  <si>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</si>
  <si>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</si>
  <si>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</si>
  <si>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</si>
  <si>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</si>
  <si>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</si>
  <si>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</si>
  <si>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</si>
  <si>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</si>
  <si>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</si>
  <si>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</si>
  <si>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</si>
  <si>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</si>
  <si>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</si>
  <si>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</si>
  <si>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</si>
  <si>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</si>
  <si>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</si>
  <si>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cap.66</t>
  </si>
  <si>
    <t>cap. 67</t>
  </si>
  <si>
    <t>cap.80</t>
  </si>
  <si>
    <t>Nr. crt./ Cap. bug.</t>
  </si>
  <si>
    <t>Lucrări de restaurare clădirea Bibliotecii Teleki - secţia de artă şi galeria Ion Vlasiu</t>
  </si>
  <si>
    <t xml:space="preserve">Dispozitiv de îmbinat pneumatic </t>
  </si>
  <si>
    <t>Refacere gard - CRCDN Ceuaşu de Cîmpie nr. 43</t>
  </si>
  <si>
    <t>Refacere gard din jurul casei - CRCDN Ceuaşu de Cîmpie nr. 185</t>
  </si>
  <si>
    <t>Aparat de copiat/ multiplicat</t>
  </si>
  <si>
    <t>PT pentru lucrarea "Reparaţii la faţada Palatului Culturii din Tîrgu Mureş"</t>
  </si>
  <si>
    <t>Împrejmuire cu gard la CTF judeţ şi CRCDN</t>
  </si>
  <si>
    <t>Branşament electric la CIA Lunca Mureşului</t>
  </si>
  <si>
    <t>Centrală termică cu tiraj forţat - 3 buc - CTF Gării, Făgăraşului, Rodnei</t>
  </si>
  <si>
    <t xml:space="preserve">Valori rectificate </t>
  </si>
  <si>
    <t>Prevederi 2010</t>
  </si>
  <si>
    <t>Influenţe</t>
  </si>
  <si>
    <t>d</t>
  </si>
  <si>
    <t>Cheltuieli privind consolidările</t>
  </si>
  <si>
    <t>Ranforsări  DJ 151B Ungheni - Căpâlna de Sus - Bahnea</t>
  </si>
  <si>
    <t>Consolidare pod DJ 106</t>
  </si>
  <si>
    <t>PT Aducerea la parametrii normali a suprafeţei  drumului   DJ 152A Tîrgu Mureş (DN15E) – Band – Iernut (DN15)</t>
  </si>
  <si>
    <t>Avize Aducerea la parametrii normali a suprafeţei  drumului   DJ 152A Tîrgu Mureş (DN15E) – Band – Iernut (DN15)</t>
  </si>
  <si>
    <t xml:space="preserve">PT Ranforsare DJ 151B Ungheni-Căpâlna de Sus-Bahnea </t>
  </si>
  <si>
    <t xml:space="preserve">Avize Ranforsare DJ 151B Ungheni-Căpâlna de Sus-Bahnea </t>
  </si>
  <si>
    <t>SF Lărgire drum judeţean DJ 154J Breaza – Voivodeni – Glodeni</t>
  </si>
  <si>
    <t>Avize Lărgire drum judeţean DJ 154J Breaza – Voivodeni – Glodeni</t>
  </si>
  <si>
    <t>PT Aducerea la parametrii normali a suprafeţei  drumului judeţean DJ 153 Reghin – Eremitu – Sovata,  judeţul Mureş</t>
  </si>
  <si>
    <t>PT Lucrări de restaurare clădirea Bibliotecii Teleki - secţia de artă şi galeria Ion Vlasiu</t>
  </si>
  <si>
    <t>PT platformă multimodală şi documentaţie tehnico - economică privind implementarea procedurilor LVO</t>
  </si>
  <si>
    <t>Avize Aducerea la parametrii normali a suprafeţei  drumului judeţean DJ 153 Reghin – Eremitu – Sovata,  judeţul Mureş</t>
  </si>
  <si>
    <t>Amenajare şi reabilitare pentru conversie spaţiu, din spaţiu hotelier în spaţiu administrativ</t>
  </si>
  <si>
    <t>SF + PT + DE Pod de beton armat peste Valea Şaeş pe DJ 106 lim.jud.Sibiu-Apold-Sighişoara (DN 13) km 87+164, judeţul Mureş</t>
  </si>
  <si>
    <t>Avize Pod de beton armat peste Valea Şaeş pe DJ 106 lim.jud.Sibiu-Apold-Sighişoara (DN 13) km 87+164, judeţul Mureş</t>
  </si>
  <si>
    <t>SF Pod de beton armat peste Valea Şaeş pe DJ 106 lim.jud.Sibiu-Apold-Sighişoara (DN 13) km 88+962, judeţul Mureş</t>
  </si>
  <si>
    <t>Avize Pod de beton armat peste Valea Şaeş pe DJ 106 lim.jud.Sibiu-Apold-Sighişoara (DN 13) km 88+962, judeţul Mureş</t>
  </si>
  <si>
    <t>Centrală de alarmare în caz de incendiu</t>
  </si>
  <si>
    <t>Unităţi de contorizare  alimentare cu apă pe raza comunei Eremitu</t>
  </si>
  <si>
    <t>Lucrări de instalaţii sisteme de alarmă împotriva incendiului şi antiefracţie Biblioteca Teleki</t>
  </si>
  <si>
    <t>Licenţă program antivirus pentru server</t>
  </si>
  <si>
    <t xml:space="preserve">DALI Reabilitarea sistemului rutier pe DJ 136  Sg de Padure - Bezid si DJ 136A Bezidul Nou - lim jud Harghita </t>
  </si>
  <si>
    <t>Refuncţionalizare fluxuri cu extindere aerogară internă pentru zboruri Non Schengen</t>
  </si>
  <si>
    <t>Set de siguranţă componente electrice pentru balizaj cat. II OACI</t>
  </si>
  <si>
    <t>Actualizare SF extindere pistă la 3600x45 m</t>
  </si>
  <si>
    <t>Studiu de impact social - pt. cererea de finanţare POS-T</t>
  </si>
  <si>
    <t>Documentaţie tehnico - economică pentru implementarea procedurilor LVO</t>
  </si>
  <si>
    <t>Documentaţie cerere de finanţare POS-T</t>
  </si>
  <si>
    <t>MUZEUL JUDEŢEAN MUREŞ (ADMINISTRAŢIA PALATULUI CULTURII)  total din care:</t>
  </si>
  <si>
    <t>Reprofilare şi amenajare teren pentru realizarea condiţiilor LVO</t>
  </si>
  <si>
    <t>Reparaţii asimilate investiţiilor - drumuri judeţene</t>
  </si>
  <si>
    <t>Panouri luminoase de aerodrom pentru orientare şi semnalizare cat. II OACI (10 buc)</t>
  </si>
  <si>
    <t>Troliu</t>
  </si>
  <si>
    <t>Reabilitare curte</t>
  </si>
  <si>
    <t>Mobilier şi birotică aerogară Non - Schengen</t>
  </si>
  <si>
    <t>Palatul Culturii</t>
  </si>
  <si>
    <t xml:space="preserve">Centrală termică  </t>
  </si>
  <si>
    <t>SMID - Drum de acces la Depozitul zonal de deşeuri din localitatea Sînpaul</t>
  </si>
  <si>
    <t>SMID - Alimentare cu energie electrică la amplasamentul depozitului zonal de deşeuri din localitatea Sînpaul</t>
  </si>
  <si>
    <t>Amenajare grupuri sociale la CIA Sighisoara</t>
  </si>
  <si>
    <t>Amenajare bucătărie şi sală de mese la CRRN Reghin</t>
  </si>
  <si>
    <t>Calculatoare cu accesorii - 2 buc - sediu central</t>
  </si>
  <si>
    <t>cap.83</t>
  </si>
  <si>
    <t>CAMERA AGRICOLĂ JUDEŢEANĂ MUREŞ</t>
  </si>
  <si>
    <t>Montare centrală termică</t>
  </si>
  <si>
    <t>SF + PT Montare centrală termică</t>
  </si>
  <si>
    <t>PT+DE Pod de beton armat peste Valea Şaeş pe DJ 106 lim.jud.Sibiu-Apold-Sighişoara (DN 13) km 87+164, judeţul Mureş</t>
  </si>
  <si>
    <t>Studiu de oportunitate privind dezvoltarea şi exploatarea aeroporturilor din Cluj-Napoca şi Tg. Mureş</t>
  </si>
  <si>
    <t>Aducerea la parametrii normali a suprafeţei  drumului   DJ 152A Tîrgu Mureş (DN15E) – Band – Iernut (DN15)</t>
  </si>
  <si>
    <t>Echipamente de calcul cu licenţe</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</si>
</sst>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39">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1" fillId="3"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12" fillId="20" borderId="1" applyNumberFormat="0" applyAlignment="0" applyProtection="0"/>
    <xf numFmtId="0" fontId="27" fillId="0" borderId="2" applyNumberFormat="0" applyFill="0" applyAlignment="0" applyProtection="0"/>
    <xf numFmtId="0" fontId="13" fillId="21" borderId="3" applyNumberFormat="0" applyAlignment="0" applyProtection="0"/>
    <xf numFmtId="0" fontId="28"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0" borderId="7" applyNumberFormat="0" applyAlignment="0" applyProtection="0"/>
    <xf numFmtId="0" fontId="19" fillId="7" borderId="1" applyNumberFormat="0" applyAlignment="0" applyProtection="0"/>
    <xf numFmtId="0" fontId="30" fillId="7" borderId="1" applyNumberFormat="0" applyAlignment="0" applyProtection="0"/>
    <xf numFmtId="0" fontId="20" fillId="0" borderId="2" applyNumberFormat="0" applyFill="0" applyAlignment="0" applyProtection="0"/>
    <xf numFmtId="0" fontId="21" fillId="22" borderId="0" applyNumberFormat="0" applyBorder="0" applyAlignment="0" applyProtection="0"/>
    <xf numFmtId="0" fontId="31"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22"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0" borderId="9" applyNumberFormat="0" applyFill="0" applyAlignment="0" applyProtection="0"/>
    <xf numFmtId="0" fontId="38"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99">
    <xf numFmtId="0" fontId="0" fillId="0" borderId="0" xfId="0"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4" fillId="0" borderId="0" xfId="0" applyFont="1" applyFill="1" applyBorder="1" applyAlignment="1">
      <alignment horizontal="right" vertical="center" wrapText="1"/>
    </xf>
    <xf numFmtId="3" fontId="10" fillId="0" borderId="0" xfId="0" applyNumberFormat="1" applyFont="1" applyFill="1" applyAlignment="1">
      <alignment horizontal="center" vertical="center"/>
    </xf>
    <xf numFmtId="0" fontId="10" fillId="0" borderId="0" xfId="0" applyFont="1" applyFill="1" applyAlignment="1">
      <alignment vertical="center"/>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xf>
    <xf numFmtId="185" fontId="4" fillId="0" borderId="11" xfId="0" applyNumberFormat="1" applyFont="1" applyFill="1" applyBorder="1" applyAlignment="1">
      <alignment horizontal="left" vertical="center" wrapText="1"/>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3" fontId="0" fillId="0" borderId="11" xfId="60" applyNumberFormat="1" applyFont="1" applyFill="1" applyBorder="1" applyAlignment="1">
      <alignment horizontal="right" vertical="center" wrapText="1"/>
      <protection/>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horizontal="center" vertical="center"/>
    </xf>
    <xf numFmtId="3" fontId="0" fillId="24" borderId="11" xfId="0" applyNumberFormat="1" applyFont="1" applyFill="1" applyBorder="1" applyAlignment="1">
      <alignment vertical="center" wrapText="1"/>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3" fontId="6" fillId="0" borderId="11" xfId="0" applyNumberFormat="1" applyFont="1" applyFill="1" applyBorder="1" applyAlignment="1">
      <alignment horizontal="right" vertical="center" wrapText="1"/>
    </xf>
    <xf numFmtId="2" fontId="4"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10"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Alignment="1">
      <alignment vertical="center"/>
    </xf>
    <xf numFmtId="3" fontId="0" fillId="0" borderId="0" xfId="0" applyNumberFormat="1"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right"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2" fontId="0" fillId="0" borderId="11" xfId="0" applyNumberFormat="1"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3" fontId="0" fillId="0" borderId="11" xfId="0" applyNumberFormat="1" applyFont="1" applyFill="1" applyBorder="1" applyAlignment="1">
      <alignment horizontal="center"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0" fontId="0" fillId="0" borderId="11" xfId="0" applyFont="1" applyBorder="1" applyAlignment="1">
      <alignment horizontal="right" vertical="center"/>
    </xf>
    <xf numFmtId="3" fontId="0" fillId="0" borderId="11" xfId="0" applyNumberFormat="1" applyFont="1" applyFill="1" applyBorder="1" applyAlignment="1">
      <alignment vertical="center"/>
    </xf>
    <xf numFmtId="3" fontId="4" fillId="0" borderId="11"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21" xfId="0" applyNumberFormat="1" applyFont="1" applyFill="1" applyBorder="1" applyAlignment="1">
      <alignment horizontal="center" vertical="center" wrapText="1"/>
    </xf>
    <xf numFmtId="0" fontId="0" fillId="0" borderId="21" xfId="0" applyBorder="1" applyAlignment="1">
      <alignmen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itlu_centralizator investitii 2010" xfId="76"/>
    <cellStyle name="Total" xfId="77"/>
    <cellStyle name="Verificare celulă" xfId="78"/>
    <cellStyle name="Comma" xfId="79"/>
    <cellStyle name="Comma [0]"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9"/>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7.00390625" style="64" customWidth="1"/>
    <col min="2" max="2" width="51.140625" style="65" customWidth="1"/>
    <col min="3" max="5" width="10.8515625" style="65" customWidth="1"/>
    <col min="6" max="6" width="10.7109375" style="66" customWidth="1"/>
    <col min="7" max="7" width="11.7109375" style="67" customWidth="1"/>
    <col min="8" max="8" width="11.140625" style="67" customWidth="1"/>
    <col min="9" max="16384" width="9.140625" style="67" customWidth="1"/>
  </cols>
  <sheetData>
    <row r="1" ht="13.5" thickBot="1">
      <c r="H1" s="23" t="s">
        <v>17</v>
      </c>
    </row>
    <row r="2" spans="1:8" s="68" customFormat="1" ht="12.75" customHeight="1" thickBot="1">
      <c r="A2" s="87" t="s">
        <v>165</v>
      </c>
      <c r="B2" s="87" t="s">
        <v>0</v>
      </c>
      <c r="C2" s="90" t="s">
        <v>176</v>
      </c>
      <c r="D2" s="90" t="s">
        <v>177</v>
      </c>
      <c r="E2" s="90" t="s">
        <v>175</v>
      </c>
      <c r="F2" s="95" t="s">
        <v>1</v>
      </c>
      <c r="G2" s="96"/>
      <c r="H2" s="97"/>
    </row>
    <row r="3" spans="1:8" s="68" customFormat="1" ht="12.75" customHeight="1" thickBot="1">
      <c r="A3" s="88"/>
      <c r="B3" s="88"/>
      <c r="C3" s="91"/>
      <c r="D3" s="91"/>
      <c r="E3" s="91"/>
      <c r="F3" s="93" t="s">
        <v>15</v>
      </c>
      <c r="G3" s="98" t="s">
        <v>16</v>
      </c>
      <c r="H3" s="98" t="s">
        <v>144</v>
      </c>
    </row>
    <row r="4" spans="1:8" s="68" customFormat="1" ht="72" customHeight="1" thickBot="1">
      <c r="A4" s="89"/>
      <c r="B4" s="89"/>
      <c r="C4" s="92"/>
      <c r="D4" s="92"/>
      <c r="E4" s="92"/>
      <c r="F4" s="94"/>
      <c r="G4" s="94"/>
      <c r="H4" s="94"/>
    </row>
    <row r="5" spans="1:8" s="68" customFormat="1" ht="15.75" customHeight="1" thickBot="1">
      <c r="A5" s="1">
        <v>0</v>
      </c>
      <c r="B5" s="1">
        <v>1</v>
      </c>
      <c r="C5" s="1">
        <v>2</v>
      </c>
      <c r="D5" s="1">
        <v>3</v>
      </c>
      <c r="E5" s="1">
        <v>4</v>
      </c>
      <c r="F5" s="2">
        <v>5</v>
      </c>
      <c r="G5" s="3">
        <v>6</v>
      </c>
      <c r="H5" s="3">
        <v>7</v>
      </c>
    </row>
    <row r="6" spans="1:13" s="48" customFormat="1" ht="13.5" thickTop="1">
      <c r="A6" s="53" t="s">
        <v>143</v>
      </c>
      <c r="B6" s="46" t="s">
        <v>142</v>
      </c>
      <c r="C6" s="47">
        <f aca="true" t="shared" si="0" ref="C6:H6">C8+C266</f>
        <v>93417199</v>
      </c>
      <c r="D6" s="47">
        <f t="shared" si="0"/>
        <v>-10512199</v>
      </c>
      <c r="E6" s="47">
        <f t="shared" si="0"/>
        <v>82905000</v>
      </c>
      <c r="F6" s="47">
        <f t="shared" si="0"/>
        <v>33503000</v>
      </c>
      <c r="G6" s="47">
        <f t="shared" si="0"/>
        <v>48276000</v>
      </c>
      <c r="H6" s="47">
        <f t="shared" si="0"/>
        <v>1126000</v>
      </c>
      <c r="K6" s="24"/>
      <c r="L6" s="24"/>
      <c r="M6" s="24"/>
    </row>
    <row r="7" spans="1:13" ht="12.75">
      <c r="A7" s="54" t="s">
        <v>20</v>
      </c>
      <c r="B7" s="49" t="s">
        <v>145</v>
      </c>
      <c r="C7" s="50"/>
      <c r="D7" s="50"/>
      <c r="E7" s="50"/>
      <c r="F7" s="50"/>
      <c r="G7" s="50"/>
      <c r="H7" s="51"/>
      <c r="K7" s="24"/>
      <c r="L7" s="24"/>
      <c r="M7" s="24"/>
    </row>
    <row r="8" spans="1:13" s="48" customFormat="1" ht="12.75">
      <c r="A8" s="53" t="s">
        <v>20</v>
      </c>
      <c r="B8" s="46" t="s">
        <v>140</v>
      </c>
      <c r="C8" s="47">
        <f aca="true" t="shared" si="1" ref="C8:H8">SUM(C9:C11)</f>
        <v>46601199</v>
      </c>
      <c r="D8" s="47">
        <f t="shared" si="1"/>
        <v>-10512199</v>
      </c>
      <c r="E8" s="47">
        <f t="shared" si="1"/>
        <v>36089000</v>
      </c>
      <c r="F8" s="47">
        <f t="shared" si="1"/>
        <v>389000</v>
      </c>
      <c r="G8" s="47">
        <f t="shared" si="1"/>
        <v>35700000</v>
      </c>
      <c r="H8" s="47">
        <f t="shared" si="1"/>
        <v>0</v>
      </c>
      <c r="K8" s="24"/>
      <c r="L8" s="24"/>
      <c r="M8" s="24"/>
    </row>
    <row r="9" spans="1:13" s="10" customFormat="1" ht="12.75">
      <c r="A9" s="9" t="s">
        <v>62</v>
      </c>
      <c r="B9" s="20" t="s">
        <v>61</v>
      </c>
      <c r="C9" s="42">
        <f aca="true" t="shared" si="2" ref="C9:H9">C18+C124+C198</f>
        <v>6868000</v>
      </c>
      <c r="D9" s="42">
        <f t="shared" si="2"/>
        <v>-2384000</v>
      </c>
      <c r="E9" s="42">
        <f t="shared" si="2"/>
        <v>4484000</v>
      </c>
      <c r="F9" s="42">
        <f t="shared" si="2"/>
        <v>0</v>
      </c>
      <c r="G9" s="42">
        <f t="shared" si="2"/>
        <v>4484000</v>
      </c>
      <c r="H9" s="42">
        <f t="shared" si="2"/>
        <v>0</v>
      </c>
      <c r="K9" s="24"/>
      <c r="L9" s="24"/>
      <c r="M9" s="24"/>
    </row>
    <row r="10" spans="1:13" s="10" customFormat="1" ht="12.75">
      <c r="A10" s="9" t="s">
        <v>26</v>
      </c>
      <c r="B10" s="28" t="s">
        <v>25</v>
      </c>
      <c r="C10" s="42">
        <f aca="true" t="shared" si="3" ref="C10:H10">C19+C103+C116+C125+C201+C232+C238</f>
        <v>5323217</v>
      </c>
      <c r="D10" s="42">
        <f t="shared" si="3"/>
        <v>1095251</v>
      </c>
      <c r="E10" s="42">
        <f t="shared" si="3"/>
        <v>6418468</v>
      </c>
      <c r="F10" s="42">
        <f t="shared" si="3"/>
        <v>29000</v>
      </c>
      <c r="G10" s="42">
        <f t="shared" si="3"/>
        <v>6389468</v>
      </c>
      <c r="H10" s="42">
        <f t="shared" si="3"/>
        <v>0</v>
      </c>
      <c r="K10" s="24"/>
      <c r="L10" s="24"/>
      <c r="M10" s="24"/>
    </row>
    <row r="11" spans="1:13" s="10" customFormat="1" ht="12.75">
      <c r="A11" s="9" t="s">
        <v>23</v>
      </c>
      <c r="B11" s="28" t="s">
        <v>22</v>
      </c>
      <c r="C11" s="42">
        <f aca="true" t="shared" si="4" ref="C11:H11">SUM(C12:C16)</f>
        <v>34409982</v>
      </c>
      <c r="D11" s="42">
        <f t="shared" si="4"/>
        <v>-9223450</v>
      </c>
      <c r="E11" s="42">
        <f t="shared" si="4"/>
        <v>25186532</v>
      </c>
      <c r="F11" s="42">
        <f t="shared" si="4"/>
        <v>360000</v>
      </c>
      <c r="G11" s="42">
        <f t="shared" si="4"/>
        <v>24826532</v>
      </c>
      <c r="H11" s="42">
        <f t="shared" si="4"/>
        <v>0</v>
      </c>
      <c r="K11" s="24"/>
      <c r="L11" s="24"/>
      <c r="M11" s="24"/>
    </row>
    <row r="12" spans="1:13" s="10" customFormat="1" ht="12.75">
      <c r="A12" s="9" t="s">
        <v>111</v>
      </c>
      <c r="B12" s="6" t="s">
        <v>112</v>
      </c>
      <c r="C12" s="42">
        <f aca="true" t="shared" si="5" ref="C12:H12">C21</f>
        <v>17044000</v>
      </c>
      <c r="D12" s="42">
        <f t="shared" si="5"/>
        <v>-3806514</v>
      </c>
      <c r="E12" s="42">
        <f t="shared" si="5"/>
        <v>13237486</v>
      </c>
      <c r="F12" s="42">
        <f t="shared" si="5"/>
        <v>0</v>
      </c>
      <c r="G12" s="42">
        <f t="shared" si="5"/>
        <v>13237486</v>
      </c>
      <c r="H12" s="42">
        <f t="shared" si="5"/>
        <v>0</v>
      </c>
      <c r="K12" s="24"/>
      <c r="L12" s="24"/>
      <c r="M12" s="24"/>
    </row>
    <row r="13" spans="1:13" s="10" customFormat="1" ht="12.75">
      <c r="A13" s="9" t="s">
        <v>29</v>
      </c>
      <c r="B13" s="28" t="s">
        <v>28</v>
      </c>
      <c r="C13" s="11">
        <f aca="true" t="shared" si="6" ref="C13:H13">C22+C92+C97+C108+C112+C127+C214+C243</f>
        <v>2810708</v>
      </c>
      <c r="D13" s="11">
        <f t="shared" si="6"/>
        <v>372457</v>
      </c>
      <c r="E13" s="11">
        <f t="shared" si="6"/>
        <v>3183165</v>
      </c>
      <c r="F13" s="11">
        <f t="shared" si="6"/>
        <v>0</v>
      </c>
      <c r="G13" s="11">
        <f t="shared" si="6"/>
        <v>3183165</v>
      </c>
      <c r="H13" s="11">
        <f t="shared" si="6"/>
        <v>0</v>
      </c>
      <c r="K13" s="24"/>
      <c r="L13" s="24"/>
      <c r="M13" s="24"/>
    </row>
    <row r="14" spans="1:13" s="10" customFormat="1" ht="25.5">
      <c r="A14" s="9" t="s">
        <v>24</v>
      </c>
      <c r="B14" s="28" t="s">
        <v>117</v>
      </c>
      <c r="C14" s="11">
        <f aca="true" t="shared" si="7" ref="C14:H14">C23+C120+C128+C224+C235+C257</f>
        <v>2132075</v>
      </c>
      <c r="D14" s="11">
        <f t="shared" si="7"/>
        <v>223125</v>
      </c>
      <c r="E14" s="11">
        <f t="shared" si="7"/>
        <v>2355200</v>
      </c>
      <c r="F14" s="11">
        <f t="shared" si="7"/>
        <v>360000</v>
      </c>
      <c r="G14" s="11">
        <f t="shared" si="7"/>
        <v>1995200</v>
      </c>
      <c r="H14" s="11">
        <f t="shared" si="7"/>
        <v>0</v>
      </c>
      <c r="K14" s="24"/>
      <c r="L14" s="24"/>
      <c r="M14" s="24"/>
    </row>
    <row r="15" spans="1:13" s="10" customFormat="1" ht="12.75">
      <c r="A15" s="9" t="s">
        <v>178</v>
      </c>
      <c r="B15" s="6" t="s">
        <v>179</v>
      </c>
      <c r="C15" s="11">
        <f aca="true" t="shared" si="8" ref="C15:H15">C24</f>
        <v>1000000</v>
      </c>
      <c r="D15" s="11">
        <f t="shared" si="8"/>
        <v>-600000</v>
      </c>
      <c r="E15" s="11">
        <f t="shared" si="8"/>
        <v>400000</v>
      </c>
      <c r="F15" s="11">
        <f t="shared" si="8"/>
        <v>0</v>
      </c>
      <c r="G15" s="11">
        <f t="shared" si="8"/>
        <v>400000</v>
      </c>
      <c r="H15" s="11">
        <f t="shared" si="8"/>
        <v>0</v>
      </c>
      <c r="K15" s="24"/>
      <c r="L15" s="24"/>
      <c r="M15" s="24"/>
    </row>
    <row r="16" spans="1:13" s="10" customFormat="1" ht="12.75">
      <c r="A16" s="9" t="s">
        <v>118</v>
      </c>
      <c r="B16" s="28" t="s">
        <v>139</v>
      </c>
      <c r="C16" s="11">
        <f aca="true" t="shared" si="9" ref="C16:H16">C25</f>
        <v>11423199</v>
      </c>
      <c r="D16" s="11">
        <f t="shared" si="9"/>
        <v>-5412518</v>
      </c>
      <c r="E16" s="11">
        <f t="shared" si="9"/>
        <v>6010681</v>
      </c>
      <c r="F16" s="11">
        <f t="shared" si="9"/>
        <v>0</v>
      </c>
      <c r="G16" s="11">
        <f t="shared" si="9"/>
        <v>6010681</v>
      </c>
      <c r="H16" s="11">
        <f t="shared" si="9"/>
        <v>0</v>
      </c>
      <c r="K16" s="24"/>
      <c r="L16" s="24"/>
      <c r="M16" s="24"/>
    </row>
    <row r="17" spans="1:13" ht="12.75">
      <c r="A17" s="55"/>
      <c r="B17" s="4" t="s">
        <v>2</v>
      </c>
      <c r="C17" s="5">
        <f aca="true" t="shared" si="10" ref="C17:H17">SUM(C18:C20)</f>
        <v>32998199</v>
      </c>
      <c r="D17" s="5">
        <f t="shared" si="10"/>
        <v>-9618032</v>
      </c>
      <c r="E17" s="5">
        <f t="shared" si="10"/>
        <v>23380167</v>
      </c>
      <c r="F17" s="5">
        <f t="shared" si="10"/>
        <v>360000</v>
      </c>
      <c r="G17" s="5">
        <f t="shared" si="10"/>
        <v>23020167</v>
      </c>
      <c r="H17" s="5">
        <f t="shared" si="10"/>
        <v>0</v>
      </c>
      <c r="K17" s="24"/>
      <c r="L17" s="24"/>
      <c r="M17" s="24"/>
    </row>
    <row r="18" spans="1:13" s="8" customFormat="1" ht="12.75">
      <c r="A18" s="9" t="s">
        <v>62</v>
      </c>
      <c r="B18" s="20" t="s">
        <v>61</v>
      </c>
      <c r="C18" s="7">
        <f aca="true" t="shared" si="11" ref="C18:H18">C27</f>
        <v>22000</v>
      </c>
      <c r="D18" s="7">
        <f t="shared" si="11"/>
        <v>-15000</v>
      </c>
      <c r="E18" s="7">
        <f t="shared" si="11"/>
        <v>7000</v>
      </c>
      <c r="F18" s="7">
        <f t="shared" si="11"/>
        <v>0</v>
      </c>
      <c r="G18" s="7">
        <f t="shared" si="11"/>
        <v>7000</v>
      </c>
      <c r="H18" s="7">
        <f t="shared" si="11"/>
        <v>0</v>
      </c>
      <c r="K18" s="24"/>
      <c r="L18" s="24"/>
      <c r="M18" s="24"/>
    </row>
    <row r="19" spans="1:13" s="8" customFormat="1" ht="12.75">
      <c r="A19" s="9" t="s">
        <v>26</v>
      </c>
      <c r="B19" s="28" t="s">
        <v>25</v>
      </c>
      <c r="C19" s="7">
        <f aca="true" t="shared" si="12" ref="C19:H19">C30+C54</f>
        <v>2030000</v>
      </c>
      <c r="D19" s="7">
        <f t="shared" si="12"/>
        <v>0</v>
      </c>
      <c r="E19" s="7">
        <f t="shared" si="12"/>
        <v>2030000</v>
      </c>
      <c r="F19" s="7">
        <f t="shared" si="12"/>
        <v>0</v>
      </c>
      <c r="G19" s="7">
        <f t="shared" si="12"/>
        <v>2030000</v>
      </c>
      <c r="H19" s="7">
        <f t="shared" si="12"/>
        <v>0</v>
      </c>
      <c r="K19" s="24"/>
      <c r="L19" s="24"/>
      <c r="M19" s="24"/>
    </row>
    <row r="20" spans="1:13" s="8" customFormat="1" ht="12.75">
      <c r="A20" s="9" t="s">
        <v>23</v>
      </c>
      <c r="B20" s="28" t="s">
        <v>22</v>
      </c>
      <c r="C20" s="7">
        <f aca="true" t="shared" si="13" ref="C20:H20">SUM(C21:C25)</f>
        <v>30946199</v>
      </c>
      <c r="D20" s="7">
        <f t="shared" si="13"/>
        <v>-9603032</v>
      </c>
      <c r="E20" s="7">
        <f t="shared" si="13"/>
        <v>21343167</v>
      </c>
      <c r="F20" s="7">
        <f t="shared" si="13"/>
        <v>360000</v>
      </c>
      <c r="G20" s="7">
        <f t="shared" si="13"/>
        <v>20983167</v>
      </c>
      <c r="H20" s="7">
        <f t="shared" si="13"/>
        <v>0</v>
      </c>
      <c r="K20" s="24"/>
      <c r="L20" s="24"/>
      <c r="M20" s="24"/>
    </row>
    <row r="21" spans="1:13" s="8" customFormat="1" ht="12.75">
      <c r="A21" s="9" t="s">
        <v>111</v>
      </c>
      <c r="B21" s="6" t="s">
        <v>112</v>
      </c>
      <c r="C21" s="7">
        <f aca="true" t="shared" si="14" ref="C21:H21">C66+C58</f>
        <v>17044000</v>
      </c>
      <c r="D21" s="7">
        <f t="shared" si="14"/>
        <v>-3806514</v>
      </c>
      <c r="E21" s="7">
        <f t="shared" si="14"/>
        <v>13237486</v>
      </c>
      <c r="F21" s="7">
        <f t="shared" si="14"/>
        <v>0</v>
      </c>
      <c r="G21" s="7">
        <f t="shared" si="14"/>
        <v>13237486</v>
      </c>
      <c r="H21" s="7">
        <f t="shared" si="14"/>
        <v>0</v>
      </c>
      <c r="K21" s="24"/>
      <c r="L21" s="24"/>
      <c r="M21" s="24"/>
    </row>
    <row r="22" spans="1:13" s="8" customFormat="1" ht="12.75">
      <c r="A22" s="9" t="s">
        <v>29</v>
      </c>
      <c r="B22" s="28" t="s">
        <v>28</v>
      </c>
      <c r="C22" s="7">
        <f aca="true" t="shared" si="15" ref="C22:H22">C35</f>
        <v>358000</v>
      </c>
      <c r="D22" s="7">
        <f t="shared" si="15"/>
        <v>0</v>
      </c>
      <c r="E22" s="7">
        <f t="shared" si="15"/>
        <v>358000</v>
      </c>
      <c r="F22" s="7">
        <f t="shared" si="15"/>
        <v>0</v>
      </c>
      <c r="G22" s="7">
        <f t="shared" si="15"/>
        <v>358000</v>
      </c>
      <c r="H22" s="7">
        <f t="shared" si="15"/>
        <v>0</v>
      </c>
      <c r="K22" s="24"/>
      <c r="L22" s="24"/>
      <c r="M22" s="24"/>
    </row>
    <row r="23" spans="1:13" s="8" customFormat="1" ht="25.5">
      <c r="A23" s="9" t="s">
        <v>24</v>
      </c>
      <c r="B23" s="28" t="s">
        <v>117</v>
      </c>
      <c r="C23" s="7">
        <f aca="true" t="shared" si="16" ref="C23:H23">C42+C50+C60+C68</f>
        <v>1121000</v>
      </c>
      <c r="D23" s="7">
        <f t="shared" si="16"/>
        <v>216000</v>
      </c>
      <c r="E23" s="7">
        <f t="shared" si="16"/>
        <v>1337000</v>
      </c>
      <c r="F23" s="7">
        <f t="shared" si="16"/>
        <v>360000</v>
      </c>
      <c r="G23" s="7">
        <f t="shared" si="16"/>
        <v>977000</v>
      </c>
      <c r="H23" s="7">
        <f t="shared" si="16"/>
        <v>0</v>
      </c>
      <c r="K23" s="24"/>
      <c r="L23" s="24"/>
      <c r="M23" s="24"/>
    </row>
    <row r="24" spans="1:13" s="8" customFormat="1" ht="12.75">
      <c r="A24" s="9" t="s">
        <v>178</v>
      </c>
      <c r="B24" s="6" t="s">
        <v>179</v>
      </c>
      <c r="C24" s="7">
        <f aca="true" t="shared" si="17" ref="C24:H24">C84</f>
        <v>1000000</v>
      </c>
      <c r="D24" s="7">
        <f t="shared" si="17"/>
        <v>-600000</v>
      </c>
      <c r="E24" s="7">
        <f t="shared" si="17"/>
        <v>400000</v>
      </c>
      <c r="F24" s="7">
        <f t="shared" si="17"/>
        <v>0</v>
      </c>
      <c r="G24" s="7">
        <f t="shared" si="17"/>
        <v>400000</v>
      </c>
      <c r="H24" s="7">
        <f t="shared" si="17"/>
        <v>0</v>
      </c>
      <c r="K24" s="24"/>
      <c r="L24" s="24"/>
      <c r="M24" s="24"/>
    </row>
    <row r="25" spans="1:13" s="10" customFormat="1" ht="12.75">
      <c r="A25" s="9" t="s">
        <v>118</v>
      </c>
      <c r="B25" s="6" t="s">
        <v>139</v>
      </c>
      <c r="C25" s="11">
        <f aca="true" t="shared" si="18" ref="C25:H25">C86</f>
        <v>11423199</v>
      </c>
      <c r="D25" s="11">
        <f t="shared" si="18"/>
        <v>-5412518</v>
      </c>
      <c r="E25" s="11">
        <f t="shared" si="18"/>
        <v>6010681</v>
      </c>
      <c r="F25" s="11">
        <f t="shared" si="18"/>
        <v>0</v>
      </c>
      <c r="G25" s="11">
        <f t="shared" si="18"/>
        <v>6010681</v>
      </c>
      <c r="H25" s="11">
        <f t="shared" si="18"/>
        <v>0</v>
      </c>
      <c r="K25" s="24"/>
      <c r="L25" s="24"/>
      <c r="M25" s="24"/>
    </row>
    <row r="26" spans="1:13" s="10" customFormat="1" ht="12.75">
      <c r="A26" s="9" t="s">
        <v>129</v>
      </c>
      <c r="B26" s="6" t="s">
        <v>128</v>
      </c>
      <c r="C26" s="7">
        <f aca="true" t="shared" si="19" ref="C26:H26">C27+C30+C34</f>
        <v>2692000</v>
      </c>
      <c r="D26" s="7">
        <f t="shared" si="19"/>
        <v>-15000</v>
      </c>
      <c r="E26" s="7">
        <f t="shared" si="19"/>
        <v>2677000</v>
      </c>
      <c r="F26" s="7">
        <f t="shared" si="19"/>
        <v>0</v>
      </c>
      <c r="G26" s="7">
        <f t="shared" si="19"/>
        <v>2677000</v>
      </c>
      <c r="H26" s="7">
        <f t="shared" si="19"/>
        <v>0</v>
      </c>
      <c r="K26" s="24"/>
      <c r="L26" s="24"/>
      <c r="M26" s="24"/>
    </row>
    <row r="27" spans="1:13" s="22" customFormat="1" ht="12.75">
      <c r="A27" s="9" t="s">
        <v>62</v>
      </c>
      <c r="B27" s="20" t="s">
        <v>61</v>
      </c>
      <c r="C27" s="7">
        <f aca="true" t="shared" si="20" ref="C27:H27">SUM(C28:C29)</f>
        <v>22000</v>
      </c>
      <c r="D27" s="7">
        <f t="shared" si="20"/>
        <v>-15000</v>
      </c>
      <c r="E27" s="7">
        <f t="shared" si="20"/>
        <v>7000</v>
      </c>
      <c r="F27" s="7">
        <f t="shared" si="20"/>
        <v>0</v>
      </c>
      <c r="G27" s="7">
        <f t="shared" si="20"/>
        <v>7000</v>
      </c>
      <c r="H27" s="7">
        <f t="shared" si="20"/>
        <v>0</v>
      </c>
      <c r="K27" s="24"/>
      <c r="L27" s="24"/>
      <c r="M27" s="24"/>
    </row>
    <row r="28" spans="1:13" ht="25.5">
      <c r="A28" s="69">
        <v>1</v>
      </c>
      <c r="B28" s="70" t="s">
        <v>90</v>
      </c>
      <c r="C28" s="71">
        <v>15000</v>
      </c>
      <c r="D28" s="41">
        <v>-15000</v>
      </c>
      <c r="E28" s="71">
        <f>C28+D28</f>
        <v>0</v>
      </c>
      <c r="F28" s="71"/>
      <c r="G28" s="71">
        <f>15000-15000</f>
        <v>0</v>
      </c>
      <c r="H28" s="71"/>
      <c r="K28" s="24"/>
      <c r="L28" s="24"/>
      <c r="M28" s="24"/>
    </row>
    <row r="29" spans="1:13" ht="25.5">
      <c r="A29" s="69">
        <v>2</v>
      </c>
      <c r="B29" s="70" t="s">
        <v>125</v>
      </c>
      <c r="C29" s="71">
        <v>7000</v>
      </c>
      <c r="D29" s="41"/>
      <c r="E29" s="71">
        <f>C29+D29</f>
        <v>7000</v>
      </c>
      <c r="F29" s="71"/>
      <c r="G29" s="71">
        <v>7000</v>
      </c>
      <c r="H29" s="71"/>
      <c r="K29" s="24"/>
      <c r="L29" s="24"/>
      <c r="M29" s="24"/>
    </row>
    <row r="30" spans="1:13" s="8" customFormat="1" ht="12.75">
      <c r="A30" s="9" t="s">
        <v>26</v>
      </c>
      <c r="B30" s="28" t="s">
        <v>25</v>
      </c>
      <c r="C30" s="7">
        <f aca="true" t="shared" si="21" ref="C30:H30">SUM(C31:C33)</f>
        <v>2000000</v>
      </c>
      <c r="D30" s="7">
        <f t="shared" si="21"/>
        <v>0</v>
      </c>
      <c r="E30" s="7">
        <f t="shared" si="21"/>
        <v>2000000</v>
      </c>
      <c r="F30" s="7">
        <f t="shared" si="21"/>
        <v>0</v>
      </c>
      <c r="G30" s="7">
        <f t="shared" si="21"/>
        <v>2000000</v>
      </c>
      <c r="H30" s="7">
        <f t="shared" si="21"/>
        <v>0</v>
      </c>
      <c r="K30" s="24"/>
      <c r="L30" s="24"/>
      <c r="M30" s="24"/>
    </row>
    <row r="31" spans="1:13" s="8" customFormat="1" ht="25.5">
      <c r="A31" s="69">
        <v>3</v>
      </c>
      <c r="B31" s="70" t="s">
        <v>88</v>
      </c>
      <c r="C31" s="71">
        <v>100000</v>
      </c>
      <c r="D31" s="71"/>
      <c r="E31" s="71">
        <f>C31+D31</f>
        <v>100000</v>
      </c>
      <c r="F31" s="71"/>
      <c r="G31" s="71">
        <f>100000</f>
        <v>100000</v>
      </c>
      <c r="H31" s="71"/>
      <c r="K31" s="24"/>
      <c r="L31" s="24"/>
      <c r="M31" s="24"/>
    </row>
    <row r="32" spans="1:13" s="8" customFormat="1" ht="25.5">
      <c r="A32" s="69">
        <v>4</v>
      </c>
      <c r="B32" s="70" t="s">
        <v>192</v>
      </c>
      <c r="C32" s="71">
        <v>1900000</v>
      </c>
      <c r="D32" s="71"/>
      <c r="E32" s="71">
        <f>C32+D32</f>
        <v>1900000</v>
      </c>
      <c r="F32" s="71"/>
      <c r="G32" s="71">
        <f>1400000+500000</f>
        <v>1900000</v>
      </c>
      <c r="H32" s="71"/>
      <c r="K32" s="24"/>
      <c r="L32" s="24"/>
      <c r="M32" s="24"/>
    </row>
    <row r="33" spans="1:13" s="8" customFormat="1" ht="12.75">
      <c r="A33" s="69">
        <v>5</v>
      </c>
      <c r="B33" s="70" t="s">
        <v>197</v>
      </c>
      <c r="C33" s="71">
        <v>0</v>
      </c>
      <c r="D33" s="71"/>
      <c r="E33" s="71">
        <f>C33+D33</f>
        <v>0</v>
      </c>
      <c r="F33" s="71"/>
      <c r="G33" s="71"/>
      <c r="H33" s="71"/>
      <c r="K33" s="24"/>
      <c r="L33" s="24"/>
      <c r="M33" s="24"/>
    </row>
    <row r="34" spans="1:13" ht="12.75">
      <c r="A34" s="9" t="s">
        <v>23</v>
      </c>
      <c r="B34" s="28" t="s">
        <v>22</v>
      </c>
      <c r="C34" s="7">
        <f aca="true" t="shared" si="22" ref="C34:H34">C35+C42</f>
        <v>670000</v>
      </c>
      <c r="D34" s="7">
        <f t="shared" si="22"/>
        <v>0</v>
      </c>
      <c r="E34" s="7">
        <f t="shared" si="22"/>
        <v>670000</v>
      </c>
      <c r="F34" s="7">
        <f t="shared" si="22"/>
        <v>0</v>
      </c>
      <c r="G34" s="7">
        <f t="shared" si="22"/>
        <v>670000</v>
      </c>
      <c r="H34" s="7">
        <f t="shared" si="22"/>
        <v>0</v>
      </c>
      <c r="K34" s="24"/>
      <c r="L34" s="24"/>
      <c r="M34" s="24"/>
    </row>
    <row r="35" spans="1:13" s="10" customFormat="1" ht="12.75">
      <c r="A35" s="9" t="s">
        <v>29</v>
      </c>
      <c r="B35" s="28" t="s">
        <v>28</v>
      </c>
      <c r="C35" s="7">
        <f aca="true" t="shared" si="23" ref="C35:H35">SUM(C36:C41)</f>
        <v>358000</v>
      </c>
      <c r="D35" s="7">
        <f t="shared" si="23"/>
        <v>0</v>
      </c>
      <c r="E35" s="7">
        <f t="shared" si="23"/>
        <v>358000</v>
      </c>
      <c r="F35" s="7">
        <f t="shared" si="23"/>
        <v>0</v>
      </c>
      <c r="G35" s="7">
        <f t="shared" si="23"/>
        <v>358000</v>
      </c>
      <c r="H35" s="7">
        <f t="shared" si="23"/>
        <v>0</v>
      </c>
      <c r="K35" s="24"/>
      <c r="L35" s="24"/>
      <c r="M35" s="24"/>
    </row>
    <row r="36" spans="1:13" s="10" customFormat="1" ht="12.75">
      <c r="A36" s="69">
        <v>6</v>
      </c>
      <c r="B36" s="70" t="s">
        <v>197</v>
      </c>
      <c r="C36" s="71">
        <v>9000</v>
      </c>
      <c r="D36" s="71"/>
      <c r="E36" s="71">
        <f aca="true" t="shared" si="24" ref="E36:E41">C36+D36</f>
        <v>9000</v>
      </c>
      <c r="F36" s="7"/>
      <c r="G36" s="71">
        <v>9000</v>
      </c>
      <c r="H36" s="7"/>
      <c r="K36" s="24"/>
      <c r="L36" s="24"/>
      <c r="M36" s="24"/>
    </row>
    <row r="37" spans="1:13" ht="12.75">
      <c r="A37" s="69">
        <v>7</v>
      </c>
      <c r="B37" s="70" t="s">
        <v>89</v>
      </c>
      <c r="C37" s="71">
        <v>250000</v>
      </c>
      <c r="D37" s="71"/>
      <c r="E37" s="71">
        <f t="shared" si="24"/>
        <v>250000</v>
      </c>
      <c r="F37" s="71"/>
      <c r="G37" s="71">
        <v>250000</v>
      </c>
      <c r="H37" s="71"/>
      <c r="K37" s="24"/>
      <c r="L37" s="24"/>
      <c r="M37" s="24"/>
    </row>
    <row r="38" spans="1:13" ht="12.75">
      <c r="A38" s="69">
        <v>8</v>
      </c>
      <c r="B38" s="70" t="s">
        <v>116</v>
      </c>
      <c r="C38" s="72">
        <v>28000</v>
      </c>
      <c r="D38" s="72"/>
      <c r="E38" s="71">
        <f t="shared" si="24"/>
        <v>28000</v>
      </c>
      <c r="F38" s="71"/>
      <c r="G38" s="71">
        <v>28000</v>
      </c>
      <c r="H38" s="71"/>
      <c r="K38" s="24"/>
      <c r="L38" s="24"/>
      <c r="M38" s="24"/>
    </row>
    <row r="39" spans="1:13" ht="25.5">
      <c r="A39" s="69">
        <v>9</v>
      </c>
      <c r="B39" s="70" t="s">
        <v>91</v>
      </c>
      <c r="C39" s="72">
        <v>21000</v>
      </c>
      <c r="D39" s="72"/>
      <c r="E39" s="71">
        <f t="shared" si="24"/>
        <v>21000</v>
      </c>
      <c r="F39" s="71"/>
      <c r="G39" s="71">
        <f>21000</f>
        <v>21000</v>
      </c>
      <c r="H39" s="71"/>
      <c r="K39" s="24"/>
      <c r="L39" s="24"/>
      <c r="M39" s="24"/>
    </row>
    <row r="40" spans="1:13" ht="12.75">
      <c r="A40" s="69">
        <v>10</v>
      </c>
      <c r="B40" s="70" t="s">
        <v>92</v>
      </c>
      <c r="C40" s="72">
        <v>50000</v>
      </c>
      <c r="D40" s="72">
        <v>-50000</v>
      </c>
      <c r="E40" s="71">
        <f t="shared" si="24"/>
        <v>0</v>
      </c>
      <c r="F40" s="71"/>
      <c r="G40" s="71">
        <f>50000-50000</f>
        <v>0</v>
      </c>
      <c r="H40" s="71"/>
      <c r="K40" s="24"/>
      <c r="L40" s="24"/>
      <c r="M40" s="24"/>
    </row>
    <row r="41" spans="1:13" ht="12.75">
      <c r="A41" s="69">
        <v>11</v>
      </c>
      <c r="B41" s="70" t="s">
        <v>27</v>
      </c>
      <c r="C41" s="72"/>
      <c r="D41" s="72">
        <v>50000</v>
      </c>
      <c r="E41" s="71">
        <f t="shared" si="24"/>
        <v>50000</v>
      </c>
      <c r="F41" s="71"/>
      <c r="G41" s="71">
        <v>50000</v>
      </c>
      <c r="H41" s="71"/>
      <c r="K41" s="24"/>
      <c r="L41" s="24"/>
      <c r="M41" s="24"/>
    </row>
    <row r="42" spans="1:13" ht="25.5">
      <c r="A42" s="9" t="s">
        <v>24</v>
      </c>
      <c r="B42" s="28" t="s">
        <v>117</v>
      </c>
      <c r="C42" s="7">
        <f aca="true" t="shared" si="25" ref="C42:H42">SUM(C43:C47)</f>
        <v>312000</v>
      </c>
      <c r="D42" s="7">
        <f t="shared" si="25"/>
        <v>0</v>
      </c>
      <c r="E42" s="7">
        <f t="shared" si="25"/>
        <v>312000</v>
      </c>
      <c r="F42" s="7">
        <f t="shared" si="25"/>
        <v>0</v>
      </c>
      <c r="G42" s="7">
        <f t="shared" si="25"/>
        <v>312000</v>
      </c>
      <c r="H42" s="7">
        <f t="shared" si="25"/>
        <v>0</v>
      </c>
      <c r="K42" s="24"/>
      <c r="L42" s="24"/>
      <c r="M42" s="24"/>
    </row>
    <row r="43" spans="1:13" ht="12.75">
      <c r="A43" s="69">
        <v>12</v>
      </c>
      <c r="B43" s="70" t="s">
        <v>86</v>
      </c>
      <c r="C43" s="71">
        <v>27500</v>
      </c>
      <c r="D43" s="71"/>
      <c r="E43" s="71">
        <f>C43+D43</f>
        <v>27500</v>
      </c>
      <c r="F43" s="71"/>
      <c r="G43" s="71">
        <v>27500</v>
      </c>
      <c r="H43" s="71"/>
      <c r="K43" s="24"/>
      <c r="L43" s="24"/>
      <c r="M43" s="24"/>
    </row>
    <row r="44" spans="1:13" ht="12.75">
      <c r="A44" s="69">
        <v>13</v>
      </c>
      <c r="B44" s="70" t="s">
        <v>87</v>
      </c>
      <c r="C44" s="71">
        <v>24500</v>
      </c>
      <c r="D44" s="71"/>
      <c r="E44" s="71">
        <f>C44+D44</f>
        <v>24500</v>
      </c>
      <c r="F44" s="71"/>
      <c r="G44" s="71">
        <v>24500</v>
      </c>
      <c r="H44" s="71"/>
      <c r="K44" s="24"/>
      <c r="L44" s="24"/>
      <c r="M44" s="24"/>
    </row>
    <row r="45" spans="1:13" ht="12.75">
      <c r="A45" s="69">
        <v>14</v>
      </c>
      <c r="B45" s="70" t="s">
        <v>106</v>
      </c>
      <c r="C45" s="71">
        <v>200000</v>
      </c>
      <c r="D45" s="71"/>
      <c r="E45" s="71">
        <f>C45+D45</f>
        <v>200000</v>
      </c>
      <c r="F45" s="71"/>
      <c r="G45" s="71">
        <v>200000</v>
      </c>
      <c r="H45" s="71"/>
      <c r="K45" s="24"/>
      <c r="L45" s="24"/>
      <c r="M45" s="24"/>
    </row>
    <row r="46" spans="1:13" ht="12.75">
      <c r="A46" s="69">
        <v>15</v>
      </c>
      <c r="B46" s="70" t="s">
        <v>107</v>
      </c>
      <c r="C46" s="72">
        <v>25000</v>
      </c>
      <c r="D46" s="72"/>
      <c r="E46" s="71">
        <f>C46+D46</f>
        <v>25000</v>
      </c>
      <c r="F46" s="71"/>
      <c r="G46" s="71">
        <v>25000</v>
      </c>
      <c r="H46" s="71"/>
      <c r="K46" s="24"/>
      <c r="L46" s="24"/>
      <c r="M46" s="24"/>
    </row>
    <row r="47" spans="1:13" ht="12.75">
      <c r="A47" s="69">
        <v>16</v>
      </c>
      <c r="B47" s="70" t="s">
        <v>108</v>
      </c>
      <c r="C47" s="72">
        <v>35000</v>
      </c>
      <c r="D47" s="72"/>
      <c r="E47" s="71">
        <f>C47+D47</f>
        <v>35000</v>
      </c>
      <c r="F47" s="71"/>
      <c r="G47" s="71">
        <v>35000</v>
      </c>
      <c r="H47" s="71"/>
      <c r="K47" s="24"/>
      <c r="L47" s="24"/>
      <c r="M47" s="24"/>
    </row>
    <row r="48" spans="1:13" s="10" customFormat="1" ht="12.75">
      <c r="A48" s="9" t="s">
        <v>130</v>
      </c>
      <c r="B48" s="6" t="s">
        <v>128</v>
      </c>
      <c r="C48" s="11">
        <f aca="true" t="shared" si="26" ref="C48:H49">C49</f>
        <v>172000</v>
      </c>
      <c r="D48" s="11">
        <f t="shared" si="26"/>
        <v>-119000</v>
      </c>
      <c r="E48" s="11">
        <f t="shared" si="26"/>
        <v>53000</v>
      </c>
      <c r="F48" s="11">
        <f t="shared" si="26"/>
        <v>0</v>
      </c>
      <c r="G48" s="11">
        <f t="shared" si="26"/>
        <v>53000</v>
      </c>
      <c r="H48" s="11">
        <f t="shared" si="26"/>
        <v>0</v>
      </c>
      <c r="K48" s="24"/>
      <c r="L48" s="24"/>
      <c r="M48" s="24"/>
    </row>
    <row r="49" spans="1:13" s="10" customFormat="1" ht="12.75">
      <c r="A49" s="9" t="s">
        <v>23</v>
      </c>
      <c r="B49" s="28" t="s">
        <v>22</v>
      </c>
      <c r="C49" s="11">
        <f t="shared" si="26"/>
        <v>172000</v>
      </c>
      <c r="D49" s="11">
        <f t="shared" si="26"/>
        <v>-119000</v>
      </c>
      <c r="E49" s="11">
        <f t="shared" si="26"/>
        <v>53000</v>
      </c>
      <c r="F49" s="11">
        <f t="shared" si="26"/>
        <v>0</v>
      </c>
      <c r="G49" s="11">
        <f t="shared" si="26"/>
        <v>53000</v>
      </c>
      <c r="H49" s="11">
        <f t="shared" si="26"/>
        <v>0</v>
      </c>
      <c r="K49" s="24"/>
      <c r="L49" s="24"/>
      <c r="M49" s="24"/>
    </row>
    <row r="50" spans="1:13" s="10" customFormat="1" ht="25.5">
      <c r="A50" s="9" t="s">
        <v>24</v>
      </c>
      <c r="B50" s="28" t="s">
        <v>117</v>
      </c>
      <c r="C50" s="11">
        <f aca="true" t="shared" si="27" ref="C50:H50">SUM(C51:C52)</f>
        <v>172000</v>
      </c>
      <c r="D50" s="11">
        <f t="shared" si="27"/>
        <v>-119000</v>
      </c>
      <c r="E50" s="11">
        <f t="shared" si="27"/>
        <v>53000</v>
      </c>
      <c r="F50" s="11">
        <f t="shared" si="27"/>
        <v>0</v>
      </c>
      <c r="G50" s="11">
        <f t="shared" si="27"/>
        <v>53000</v>
      </c>
      <c r="H50" s="11">
        <f t="shared" si="27"/>
        <v>0</v>
      </c>
      <c r="K50" s="24"/>
      <c r="L50" s="24"/>
      <c r="M50" s="24"/>
    </row>
    <row r="51" spans="1:13" ht="25.5">
      <c r="A51" s="69">
        <v>17</v>
      </c>
      <c r="B51" s="73" t="s">
        <v>18</v>
      </c>
      <c r="C51" s="74">
        <v>130000</v>
      </c>
      <c r="D51" s="26">
        <v>-77000</v>
      </c>
      <c r="E51" s="71">
        <f>C51+D51</f>
        <v>53000</v>
      </c>
      <c r="F51" s="75"/>
      <c r="G51" s="76">
        <f>130000-77000</f>
        <v>53000</v>
      </c>
      <c r="H51" s="76"/>
      <c r="K51" s="24"/>
      <c r="L51" s="24"/>
      <c r="M51" s="24"/>
    </row>
    <row r="52" spans="1:13" ht="25.5">
      <c r="A52" s="69">
        <v>18</v>
      </c>
      <c r="B52" s="73" t="s">
        <v>105</v>
      </c>
      <c r="C52" s="74">
        <v>42000</v>
      </c>
      <c r="D52" s="26">
        <v>-42000</v>
      </c>
      <c r="E52" s="71">
        <f>C52+D52</f>
        <v>0</v>
      </c>
      <c r="F52" s="75"/>
      <c r="G52" s="76">
        <f>42000-42000</f>
        <v>0</v>
      </c>
      <c r="H52" s="76"/>
      <c r="K52" s="24"/>
      <c r="L52" s="24"/>
      <c r="M52" s="24"/>
    </row>
    <row r="53" spans="1:13" s="10" customFormat="1" ht="12.75">
      <c r="A53" s="9" t="s">
        <v>131</v>
      </c>
      <c r="B53" s="6" t="s">
        <v>128</v>
      </c>
      <c r="C53" s="11">
        <f aca="true" t="shared" si="28" ref="C53:H53">C54</f>
        <v>30000</v>
      </c>
      <c r="D53" s="11">
        <f t="shared" si="28"/>
        <v>0</v>
      </c>
      <c r="E53" s="11">
        <f t="shared" si="28"/>
        <v>30000</v>
      </c>
      <c r="F53" s="11">
        <f t="shared" si="28"/>
        <v>0</v>
      </c>
      <c r="G53" s="11">
        <f t="shared" si="28"/>
        <v>30000</v>
      </c>
      <c r="H53" s="11">
        <f t="shared" si="28"/>
        <v>0</v>
      </c>
      <c r="K53" s="24"/>
      <c r="L53" s="24"/>
      <c r="M53" s="24"/>
    </row>
    <row r="54" spans="1:13" s="10" customFormat="1" ht="12.75">
      <c r="A54" s="9" t="s">
        <v>26</v>
      </c>
      <c r="B54" s="28" t="s">
        <v>25</v>
      </c>
      <c r="C54" s="11">
        <f aca="true" t="shared" si="29" ref="C54:H54">SUM(C55:C55)</f>
        <v>30000</v>
      </c>
      <c r="D54" s="11">
        <f t="shared" si="29"/>
        <v>0</v>
      </c>
      <c r="E54" s="11">
        <f t="shared" si="29"/>
        <v>30000</v>
      </c>
      <c r="F54" s="11">
        <f t="shared" si="29"/>
        <v>0</v>
      </c>
      <c r="G54" s="11">
        <f t="shared" si="29"/>
        <v>30000</v>
      </c>
      <c r="H54" s="11">
        <f t="shared" si="29"/>
        <v>0</v>
      </c>
      <c r="K54" s="24"/>
      <c r="L54" s="24"/>
      <c r="M54" s="24"/>
    </row>
    <row r="55" spans="1:13" ht="25.5">
      <c r="A55" s="69">
        <v>19</v>
      </c>
      <c r="B55" s="73" t="s">
        <v>198</v>
      </c>
      <c r="C55" s="74">
        <v>30000</v>
      </c>
      <c r="D55" s="74"/>
      <c r="E55" s="71">
        <f>C55+D55</f>
        <v>30000</v>
      </c>
      <c r="F55" s="75"/>
      <c r="G55" s="76">
        <v>30000</v>
      </c>
      <c r="H55" s="76"/>
      <c r="K55" s="24"/>
      <c r="L55" s="24"/>
      <c r="M55" s="24"/>
    </row>
    <row r="56" spans="1:13" s="10" customFormat="1" ht="12.75">
      <c r="A56" s="9" t="s">
        <v>132</v>
      </c>
      <c r="B56" s="6" t="s">
        <v>128</v>
      </c>
      <c r="C56" s="11">
        <f aca="true" t="shared" si="30" ref="C56:H56">C57</f>
        <v>401000</v>
      </c>
      <c r="D56" s="11">
        <f t="shared" si="30"/>
        <v>0</v>
      </c>
      <c r="E56" s="11">
        <f t="shared" si="30"/>
        <v>401000</v>
      </c>
      <c r="F56" s="11">
        <f t="shared" si="30"/>
        <v>0</v>
      </c>
      <c r="G56" s="11">
        <f t="shared" si="30"/>
        <v>401000</v>
      </c>
      <c r="H56" s="11">
        <f t="shared" si="30"/>
        <v>0</v>
      </c>
      <c r="K56" s="24"/>
      <c r="L56" s="24"/>
      <c r="M56" s="24"/>
    </row>
    <row r="57" spans="1:13" s="10" customFormat="1" ht="12.75">
      <c r="A57" s="9" t="s">
        <v>23</v>
      </c>
      <c r="B57" s="28" t="s">
        <v>22</v>
      </c>
      <c r="C57" s="11">
        <f aca="true" t="shared" si="31" ref="C57:H57">C58+C60</f>
        <v>401000</v>
      </c>
      <c r="D57" s="11">
        <f t="shared" si="31"/>
        <v>0</v>
      </c>
      <c r="E57" s="11">
        <f t="shared" si="31"/>
        <v>401000</v>
      </c>
      <c r="F57" s="11">
        <f t="shared" si="31"/>
        <v>0</v>
      </c>
      <c r="G57" s="11">
        <f t="shared" si="31"/>
        <v>401000</v>
      </c>
      <c r="H57" s="11">
        <f t="shared" si="31"/>
        <v>0</v>
      </c>
      <c r="K57" s="24"/>
      <c r="L57" s="24"/>
      <c r="M57" s="24"/>
    </row>
    <row r="58" spans="1:13" s="10" customFormat="1" ht="12.75">
      <c r="A58" s="9" t="s">
        <v>111</v>
      </c>
      <c r="B58" s="45" t="s">
        <v>112</v>
      </c>
      <c r="C58" s="11">
        <f aca="true" t="shared" si="32" ref="C58:H58">SUM(C59)</f>
        <v>310000</v>
      </c>
      <c r="D58" s="11">
        <f t="shared" si="32"/>
        <v>0</v>
      </c>
      <c r="E58" s="11">
        <f t="shared" si="32"/>
        <v>310000</v>
      </c>
      <c r="F58" s="11">
        <f t="shared" si="32"/>
        <v>0</v>
      </c>
      <c r="G58" s="11">
        <f t="shared" si="32"/>
        <v>310000</v>
      </c>
      <c r="H58" s="11">
        <f t="shared" si="32"/>
        <v>0</v>
      </c>
      <c r="K58" s="24"/>
      <c r="L58" s="24"/>
      <c r="M58" s="24"/>
    </row>
    <row r="59" spans="1:13" ht="12.75">
      <c r="A59" s="69">
        <v>20</v>
      </c>
      <c r="B59" s="73" t="s">
        <v>119</v>
      </c>
      <c r="C59" s="74">
        <v>310000</v>
      </c>
      <c r="D59" s="74"/>
      <c r="E59" s="71">
        <f>C59+D59</f>
        <v>310000</v>
      </c>
      <c r="F59" s="74"/>
      <c r="G59" s="74">
        <v>310000</v>
      </c>
      <c r="H59" s="74"/>
      <c r="K59" s="24"/>
      <c r="L59" s="24"/>
      <c r="M59" s="24"/>
    </row>
    <row r="60" spans="1:13" s="10" customFormat="1" ht="25.5">
      <c r="A60" s="9" t="s">
        <v>24</v>
      </c>
      <c r="B60" s="28" t="s">
        <v>117</v>
      </c>
      <c r="C60" s="11">
        <f aca="true" t="shared" si="33" ref="C60:H60">SUM(C61:C63)</f>
        <v>91000</v>
      </c>
      <c r="D60" s="11">
        <f t="shared" si="33"/>
        <v>0</v>
      </c>
      <c r="E60" s="11">
        <f t="shared" si="33"/>
        <v>91000</v>
      </c>
      <c r="F60" s="11">
        <f t="shared" si="33"/>
        <v>0</v>
      </c>
      <c r="G60" s="11">
        <f t="shared" si="33"/>
        <v>91000</v>
      </c>
      <c r="H60" s="11">
        <f t="shared" si="33"/>
        <v>0</v>
      </c>
      <c r="K60" s="24"/>
      <c r="L60" s="24"/>
      <c r="M60" s="24"/>
    </row>
    <row r="61" spans="1:13" ht="25.5">
      <c r="A61" s="69">
        <v>21</v>
      </c>
      <c r="B61" s="73" t="s">
        <v>109</v>
      </c>
      <c r="C61" s="74">
        <v>60000</v>
      </c>
      <c r="D61" s="74"/>
      <c r="E61" s="71">
        <f>C61+D61</f>
        <v>60000</v>
      </c>
      <c r="F61" s="74"/>
      <c r="G61" s="76">
        <f>45000+15000</f>
        <v>60000</v>
      </c>
      <c r="H61" s="76"/>
      <c r="K61" s="24"/>
      <c r="L61" s="24"/>
      <c r="M61" s="24"/>
    </row>
    <row r="62" spans="1:13" ht="25.5">
      <c r="A62" s="69">
        <v>22</v>
      </c>
      <c r="B62" s="73" t="s">
        <v>126</v>
      </c>
      <c r="C62" s="74">
        <v>8000</v>
      </c>
      <c r="D62" s="74"/>
      <c r="E62" s="71">
        <f>C62+D62</f>
        <v>8000</v>
      </c>
      <c r="F62" s="74"/>
      <c r="G62" s="76">
        <f>3000+5000</f>
        <v>8000</v>
      </c>
      <c r="H62" s="76"/>
      <c r="K62" s="24"/>
      <c r="L62" s="24"/>
      <c r="M62" s="24"/>
    </row>
    <row r="63" spans="1:13" ht="51">
      <c r="A63" s="69">
        <v>23</v>
      </c>
      <c r="B63" s="73" t="s">
        <v>127</v>
      </c>
      <c r="C63" s="74">
        <v>23000</v>
      </c>
      <c r="D63" s="74"/>
      <c r="E63" s="71">
        <f>C63+D63</f>
        <v>23000</v>
      </c>
      <c r="F63" s="74"/>
      <c r="G63" s="76">
        <v>23000</v>
      </c>
      <c r="H63" s="76"/>
      <c r="K63" s="24"/>
      <c r="L63" s="24"/>
      <c r="M63" s="24"/>
    </row>
    <row r="64" spans="1:13" s="10" customFormat="1" ht="12.75">
      <c r="A64" s="9" t="s">
        <v>133</v>
      </c>
      <c r="B64" s="6" t="s">
        <v>128</v>
      </c>
      <c r="C64" s="11">
        <f aca="true" t="shared" si="34" ref="C64:H64">C65</f>
        <v>29703199</v>
      </c>
      <c r="D64" s="11">
        <f t="shared" si="34"/>
        <v>-9484032</v>
      </c>
      <c r="E64" s="11">
        <f t="shared" si="34"/>
        <v>20219167</v>
      </c>
      <c r="F64" s="11">
        <f t="shared" si="34"/>
        <v>360000</v>
      </c>
      <c r="G64" s="11">
        <f t="shared" si="34"/>
        <v>19859167</v>
      </c>
      <c r="H64" s="11">
        <f t="shared" si="34"/>
        <v>0</v>
      </c>
      <c r="K64" s="24"/>
      <c r="L64" s="24"/>
      <c r="M64" s="24"/>
    </row>
    <row r="65" spans="1:13" s="10" customFormat="1" ht="12.75">
      <c r="A65" s="9" t="s">
        <v>23</v>
      </c>
      <c r="B65" s="28" t="s">
        <v>22</v>
      </c>
      <c r="C65" s="11">
        <f aca="true" t="shared" si="35" ref="C65:H65">C66+C68+C84+C86</f>
        <v>29703199</v>
      </c>
      <c r="D65" s="11">
        <f t="shared" si="35"/>
        <v>-9484032</v>
      </c>
      <c r="E65" s="11">
        <f t="shared" si="35"/>
        <v>20219167</v>
      </c>
      <c r="F65" s="11">
        <f t="shared" si="35"/>
        <v>360000</v>
      </c>
      <c r="G65" s="11">
        <f t="shared" si="35"/>
        <v>19859167</v>
      </c>
      <c r="H65" s="11">
        <f t="shared" si="35"/>
        <v>0</v>
      </c>
      <c r="K65" s="24"/>
      <c r="L65" s="24"/>
      <c r="M65" s="24"/>
    </row>
    <row r="66" spans="1:13" s="10" customFormat="1" ht="12.75">
      <c r="A66" s="9" t="s">
        <v>111</v>
      </c>
      <c r="B66" s="6" t="s">
        <v>112</v>
      </c>
      <c r="C66" s="11">
        <f aca="true" t="shared" si="36" ref="C66:H66">C67</f>
        <v>16734000</v>
      </c>
      <c r="D66" s="11">
        <f t="shared" si="36"/>
        <v>-3806514</v>
      </c>
      <c r="E66" s="11">
        <f t="shared" si="36"/>
        <v>12927486</v>
      </c>
      <c r="F66" s="11">
        <f t="shared" si="36"/>
        <v>0</v>
      </c>
      <c r="G66" s="11">
        <f t="shared" si="36"/>
        <v>12927486</v>
      </c>
      <c r="H66" s="11">
        <f t="shared" si="36"/>
        <v>0</v>
      </c>
      <c r="K66" s="24"/>
      <c r="L66" s="24"/>
      <c r="M66" s="24"/>
    </row>
    <row r="67" spans="1:13" ht="25.5">
      <c r="A67" s="69">
        <v>24</v>
      </c>
      <c r="B67" s="77" t="s">
        <v>120</v>
      </c>
      <c r="C67" s="74">
        <v>16734000</v>
      </c>
      <c r="D67" s="26">
        <v>-3806514</v>
      </c>
      <c r="E67" s="71">
        <f>C67+D67</f>
        <v>12927486</v>
      </c>
      <c r="F67" s="74"/>
      <c r="G67" s="74">
        <f>20000000-3266000-3806514</f>
        <v>12927486</v>
      </c>
      <c r="H67" s="74"/>
      <c r="K67" s="24"/>
      <c r="L67" s="24"/>
      <c r="M67" s="24"/>
    </row>
    <row r="68" spans="1:13" s="10" customFormat="1" ht="25.5">
      <c r="A68" s="9" t="s">
        <v>24</v>
      </c>
      <c r="B68" s="28" t="s">
        <v>117</v>
      </c>
      <c r="C68" s="11">
        <f aca="true" t="shared" si="37" ref="C68:H68">SUM(C69:C83)</f>
        <v>546000</v>
      </c>
      <c r="D68" s="11">
        <f t="shared" si="37"/>
        <v>335000</v>
      </c>
      <c r="E68" s="11">
        <f t="shared" si="37"/>
        <v>881000</v>
      </c>
      <c r="F68" s="11">
        <f t="shared" si="37"/>
        <v>360000</v>
      </c>
      <c r="G68" s="11">
        <f t="shared" si="37"/>
        <v>521000</v>
      </c>
      <c r="H68" s="11">
        <f t="shared" si="37"/>
        <v>0</v>
      </c>
      <c r="K68" s="24"/>
      <c r="L68" s="24"/>
      <c r="M68" s="24"/>
    </row>
    <row r="69" spans="1:13" ht="25.5">
      <c r="A69" s="69">
        <v>25</v>
      </c>
      <c r="B69" s="77" t="s">
        <v>201</v>
      </c>
      <c r="C69" s="74">
        <v>180000</v>
      </c>
      <c r="D69" s="26">
        <v>-100000</v>
      </c>
      <c r="E69" s="71">
        <f aca="true" t="shared" si="38" ref="E69:E83">C69+D69</f>
        <v>80000</v>
      </c>
      <c r="F69" s="74"/>
      <c r="G69" s="74">
        <f>200000-20000-100000</f>
        <v>80000</v>
      </c>
      <c r="H69" s="74"/>
      <c r="K69" s="24"/>
      <c r="L69" s="24"/>
      <c r="M69" s="24"/>
    </row>
    <row r="70" spans="1:13" ht="25.5">
      <c r="A70" s="69">
        <v>26</v>
      </c>
      <c r="B70" s="77" t="s">
        <v>188</v>
      </c>
      <c r="C70" s="74">
        <v>60088</v>
      </c>
      <c r="D70" s="74"/>
      <c r="E70" s="71">
        <f t="shared" si="38"/>
        <v>60088</v>
      </c>
      <c r="F70" s="74"/>
      <c r="G70" s="74">
        <f>35000+25088</f>
        <v>60088</v>
      </c>
      <c r="H70" s="74"/>
      <c r="K70" s="24"/>
      <c r="L70" s="24"/>
      <c r="M70" s="24"/>
    </row>
    <row r="71" spans="1:13" ht="25.5">
      <c r="A71" s="69">
        <v>27</v>
      </c>
      <c r="B71" s="77" t="s">
        <v>191</v>
      </c>
      <c r="C71" s="74">
        <v>3000</v>
      </c>
      <c r="D71" s="74"/>
      <c r="E71" s="71">
        <f t="shared" si="38"/>
        <v>3000</v>
      </c>
      <c r="F71" s="74"/>
      <c r="G71" s="74">
        <v>3000</v>
      </c>
      <c r="H71" s="74"/>
      <c r="K71" s="24"/>
      <c r="L71" s="24"/>
      <c r="M71" s="24"/>
    </row>
    <row r="72" spans="1:13" ht="25.5">
      <c r="A72" s="69">
        <v>28</v>
      </c>
      <c r="B72" s="77" t="s">
        <v>182</v>
      </c>
      <c r="C72" s="74">
        <v>18228</v>
      </c>
      <c r="D72" s="74"/>
      <c r="E72" s="71">
        <f t="shared" si="38"/>
        <v>18228</v>
      </c>
      <c r="F72" s="74"/>
      <c r="G72" s="74">
        <f>25000-6772</f>
        <v>18228</v>
      </c>
      <c r="H72" s="74"/>
      <c r="K72" s="24"/>
      <c r="L72" s="24"/>
      <c r="M72" s="24"/>
    </row>
    <row r="73" spans="1:13" ht="25.5">
      <c r="A73" s="69">
        <v>29</v>
      </c>
      <c r="B73" s="77" t="s">
        <v>183</v>
      </c>
      <c r="C73" s="74">
        <v>3000</v>
      </c>
      <c r="D73" s="74"/>
      <c r="E73" s="71">
        <f t="shared" si="38"/>
        <v>3000</v>
      </c>
      <c r="F73" s="74"/>
      <c r="G73" s="74">
        <v>3000</v>
      </c>
      <c r="H73" s="74"/>
      <c r="K73" s="24"/>
      <c r="L73" s="24"/>
      <c r="M73" s="24"/>
    </row>
    <row r="74" spans="1:13" ht="12.75">
      <c r="A74" s="69">
        <v>30</v>
      </c>
      <c r="B74" s="77" t="s">
        <v>184</v>
      </c>
      <c r="C74" s="74">
        <v>35340</v>
      </c>
      <c r="D74" s="74"/>
      <c r="E74" s="71">
        <f t="shared" si="38"/>
        <v>35340</v>
      </c>
      <c r="F74" s="74"/>
      <c r="G74" s="74">
        <f>47000-11660</f>
        <v>35340</v>
      </c>
      <c r="H74" s="74"/>
      <c r="K74" s="24"/>
      <c r="L74" s="24"/>
      <c r="M74" s="24"/>
    </row>
    <row r="75" spans="1:13" ht="25.5">
      <c r="A75" s="69">
        <v>31</v>
      </c>
      <c r="B75" s="77" t="s">
        <v>185</v>
      </c>
      <c r="C75" s="74">
        <v>3000</v>
      </c>
      <c r="D75" s="74"/>
      <c r="E75" s="71">
        <f t="shared" si="38"/>
        <v>3000</v>
      </c>
      <c r="F75" s="74"/>
      <c r="G75" s="74">
        <v>3000</v>
      </c>
      <c r="H75" s="74"/>
      <c r="K75" s="24"/>
      <c r="L75" s="24"/>
      <c r="M75" s="24"/>
    </row>
    <row r="76" spans="1:13" ht="25.5">
      <c r="A76" s="69">
        <v>32</v>
      </c>
      <c r="B76" s="77" t="s">
        <v>186</v>
      </c>
      <c r="C76" s="74">
        <v>50344</v>
      </c>
      <c r="D76" s="74"/>
      <c r="E76" s="71">
        <f t="shared" si="38"/>
        <v>50344</v>
      </c>
      <c r="F76" s="74"/>
      <c r="G76" s="74">
        <f>57000-6656</f>
        <v>50344</v>
      </c>
      <c r="H76" s="74"/>
      <c r="K76" s="24"/>
      <c r="L76" s="24"/>
      <c r="M76" s="24"/>
    </row>
    <row r="77" spans="1:13" ht="25.5">
      <c r="A77" s="69">
        <v>33</v>
      </c>
      <c r="B77" s="77" t="s">
        <v>187</v>
      </c>
      <c r="C77" s="74">
        <v>3000</v>
      </c>
      <c r="D77" s="74"/>
      <c r="E77" s="71">
        <f t="shared" si="38"/>
        <v>3000</v>
      </c>
      <c r="F77" s="74"/>
      <c r="G77" s="74">
        <v>3000</v>
      </c>
      <c r="H77" s="74"/>
      <c r="K77" s="24"/>
      <c r="L77" s="24"/>
      <c r="M77" s="24"/>
    </row>
    <row r="78" spans="1:13" ht="38.25">
      <c r="A78" s="69">
        <v>34</v>
      </c>
      <c r="B78" s="77" t="s">
        <v>193</v>
      </c>
      <c r="C78" s="74">
        <v>137000</v>
      </c>
      <c r="D78" s="74"/>
      <c r="E78" s="71">
        <f t="shared" si="38"/>
        <v>137000</v>
      </c>
      <c r="F78" s="74"/>
      <c r="G78" s="74">
        <v>137000</v>
      </c>
      <c r="H78" s="74"/>
      <c r="K78" s="24"/>
      <c r="L78" s="24"/>
      <c r="M78" s="24"/>
    </row>
    <row r="79" spans="1:13" ht="38.25">
      <c r="A79" s="69">
        <v>35</v>
      </c>
      <c r="B79" s="77" t="s">
        <v>194</v>
      </c>
      <c r="C79" s="74">
        <v>3000</v>
      </c>
      <c r="D79" s="74"/>
      <c r="E79" s="71">
        <f t="shared" si="38"/>
        <v>3000</v>
      </c>
      <c r="F79" s="74"/>
      <c r="G79" s="74">
        <v>3000</v>
      </c>
      <c r="H79" s="74"/>
      <c r="K79" s="24"/>
      <c r="L79" s="24"/>
      <c r="M79" s="24"/>
    </row>
    <row r="80" spans="1:13" ht="38.25">
      <c r="A80" s="69">
        <v>36</v>
      </c>
      <c r="B80" s="77" t="s">
        <v>195</v>
      </c>
      <c r="C80" s="74">
        <v>47000</v>
      </c>
      <c r="D80" s="74"/>
      <c r="E80" s="71">
        <f t="shared" si="38"/>
        <v>47000</v>
      </c>
      <c r="F80" s="74"/>
      <c r="G80" s="74">
        <v>47000</v>
      </c>
      <c r="H80" s="74"/>
      <c r="K80" s="24"/>
      <c r="L80" s="24"/>
      <c r="M80" s="24"/>
    </row>
    <row r="81" spans="1:13" ht="38.25">
      <c r="A81" s="69">
        <v>37</v>
      </c>
      <c r="B81" s="77" t="s">
        <v>196</v>
      </c>
      <c r="C81" s="74">
        <v>3000</v>
      </c>
      <c r="D81" s="74"/>
      <c r="E81" s="71">
        <f t="shared" si="38"/>
        <v>3000</v>
      </c>
      <c r="F81" s="74"/>
      <c r="G81" s="74">
        <v>3000</v>
      </c>
      <c r="H81" s="74"/>
      <c r="K81" s="24"/>
      <c r="L81" s="24"/>
      <c r="M81" s="24"/>
    </row>
    <row r="82" spans="1:13" ht="38.25">
      <c r="A82" s="69">
        <v>38</v>
      </c>
      <c r="B82" s="77" t="s">
        <v>226</v>
      </c>
      <c r="C82" s="74"/>
      <c r="D82" s="74">
        <v>75000</v>
      </c>
      <c r="E82" s="71">
        <f t="shared" si="38"/>
        <v>75000</v>
      </c>
      <c r="F82" s="74"/>
      <c r="G82" s="74">
        <v>75000</v>
      </c>
      <c r="H82" s="74"/>
      <c r="K82" s="24"/>
      <c r="L82" s="24"/>
      <c r="M82" s="24"/>
    </row>
    <row r="83" spans="1:13" ht="25.5">
      <c r="A83" s="69">
        <v>39</v>
      </c>
      <c r="B83" s="77" t="s">
        <v>227</v>
      </c>
      <c r="C83" s="74"/>
      <c r="D83" s="74">
        <v>360000</v>
      </c>
      <c r="E83" s="71">
        <f t="shared" si="38"/>
        <v>360000</v>
      </c>
      <c r="F83" s="74">
        <v>360000</v>
      </c>
      <c r="G83" s="74"/>
      <c r="H83" s="74"/>
      <c r="K83" s="24"/>
      <c r="L83" s="24"/>
      <c r="M83" s="24"/>
    </row>
    <row r="84" spans="1:13" s="10" customFormat="1" ht="12.75">
      <c r="A84" s="9" t="s">
        <v>178</v>
      </c>
      <c r="B84" s="6" t="s">
        <v>179</v>
      </c>
      <c r="C84" s="11">
        <f aca="true" t="shared" si="39" ref="C84:H84">SUM(C85)</f>
        <v>1000000</v>
      </c>
      <c r="D84" s="11">
        <f t="shared" si="39"/>
        <v>-600000</v>
      </c>
      <c r="E84" s="11">
        <f t="shared" si="39"/>
        <v>400000</v>
      </c>
      <c r="F84" s="11">
        <f t="shared" si="39"/>
        <v>0</v>
      </c>
      <c r="G84" s="11">
        <f t="shared" si="39"/>
        <v>400000</v>
      </c>
      <c r="H84" s="11">
        <f t="shared" si="39"/>
        <v>0</v>
      </c>
      <c r="K84" s="24"/>
      <c r="L84" s="24"/>
      <c r="M84" s="24"/>
    </row>
    <row r="85" spans="1:13" ht="12.75">
      <c r="A85" s="69">
        <v>40</v>
      </c>
      <c r="B85" s="77" t="s">
        <v>181</v>
      </c>
      <c r="C85" s="74">
        <v>1000000</v>
      </c>
      <c r="D85" s="26">
        <v>-600000</v>
      </c>
      <c r="E85" s="71">
        <f>C85+D85</f>
        <v>400000</v>
      </c>
      <c r="F85" s="74"/>
      <c r="G85" s="74">
        <v>400000</v>
      </c>
      <c r="H85" s="74"/>
      <c r="K85" s="24"/>
      <c r="L85" s="24"/>
      <c r="M85" s="24"/>
    </row>
    <row r="86" spans="1:13" s="10" customFormat="1" ht="12.75">
      <c r="A86" s="9" t="s">
        <v>118</v>
      </c>
      <c r="B86" s="6" t="s">
        <v>139</v>
      </c>
      <c r="C86" s="11">
        <f aca="true" t="shared" si="40" ref="C86:H86">SUM(C87:C89)</f>
        <v>11423199</v>
      </c>
      <c r="D86" s="11">
        <f t="shared" si="40"/>
        <v>-5412518</v>
      </c>
      <c r="E86" s="11">
        <f t="shared" si="40"/>
        <v>6010681</v>
      </c>
      <c r="F86" s="11">
        <f t="shared" si="40"/>
        <v>0</v>
      </c>
      <c r="G86" s="11">
        <f t="shared" si="40"/>
        <v>6010681</v>
      </c>
      <c r="H86" s="11">
        <f t="shared" si="40"/>
        <v>0</v>
      </c>
      <c r="K86" s="24"/>
      <c r="L86" s="24"/>
      <c r="M86" s="24"/>
    </row>
    <row r="87" spans="1:13" ht="12.75">
      <c r="A87" s="69">
        <v>41</v>
      </c>
      <c r="B87" s="77" t="s">
        <v>180</v>
      </c>
      <c r="C87" s="74">
        <v>1400000</v>
      </c>
      <c r="D87" s="26">
        <v>800000</v>
      </c>
      <c r="E87" s="71">
        <f>C87+D87</f>
        <v>2200000</v>
      </c>
      <c r="F87" s="74"/>
      <c r="G87" s="74">
        <f>1400000+800000</f>
        <v>2200000</v>
      </c>
      <c r="H87" s="74"/>
      <c r="K87" s="24"/>
      <c r="L87" s="24"/>
      <c r="M87" s="24"/>
    </row>
    <row r="88" spans="1:13" ht="12.75">
      <c r="A88" s="69">
        <v>42</v>
      </c>
      <c r="B88" s="77" t="s">
        <v>210</v>
      </c>
      <c r="C88" s="74">
        <v>10023199</v>
      </c>
      <c r="D88" s="26">
        <f>-10023199+3378829</f>
        <v>-6644370</v>
      </c>
      <c r="E88" s="71">
        <f>C88+D88</f>
        <v>3378829</v>
      </c>
      <c r="F88" s="74">
        <f>10023199-10023199</f>
        <v>0</v>
      </c>
      <c r="G88" s="71">
        <v>3378829</v>
      </c>
      <c r="H88" s="74"/>
      <c r="K88" s="24"/>
      <c r="L88" s="24"/>
      <c r="M88" s="24"/>
    </row>
    <row r="89" spans="1:13" ht="25.5">
      <c r="A89" s="69">
        <v>43</v>
      </c>
      <c r="B89" s="77" t="s">
        <v>228</v>
      </c>
      <c r="C89" s="74"/>
      <c r="D89" s="26">
        <v>431852</v>
      </c>
      <c r="E89" s="71">
        <f>C89+D89</f>
        <v>431852</v>
      </c>
      <c r="F89" s="74"/>
      <c r="G89" s="74">
        <v>431852</v>
      </c>
      <c r="H89" s="74"/>
      <c r="K89" s="24"/>
      <c r="L89" s="24"/>
      <c r="M89" s="24"/>
    </row>
    <row r="90" spans="1:13" ht="25.5">
      <c r="A90" s="56" t="s">
        <v>134</v>
      </c>
      <c r="B90" s="12" t="s">
        <v>3</v>
      </c>
      <c r="C90" s="13">
        <f aca="true" t="shared" si="41" ref="C90:H91">C91</f>
        <v>23000</v>
      </c>
      <c r="D90" s="13">
        <f t="shared" si="41"/>
        <v>0</v>
      </c>
      <c r="E90" s="13">
        <f t="shared" si="41"/>
        <v>23000</v>
      </c>
      <c r="F90" s="13">
        <f t="shared" si="41"/>
        <v>0</v>
      </c>
      <c r="G90" s="13">
        <f t="shared" si="41"/>
        <v>23000</v>
      </c>
      <c r="H90" s="13">
        <f t="shared" si="41"/>
        <v>0</v>
      </c>
      <c r="K90" s="24"/>
      <c r="L90" s="24"/>
      <c r="M90" s="24"/>
    </row>
    <row r="91" spans="1:13" s="10" customFormat="1" ht="12.75">
      <c r="A91" s="9" t="s">
        <v>23</v>
      </c>
      <c r="B91" s="28" t="s">
        <v>22</v>
      </c>
      <c r="C91" s="11">
        <f t="shared" si="41"/>
        <v>23000</v>
      </c>
      <c r="D91" s="11">
        <f t="shared" si="41"/>
        <v>0</v>
      </c>
      <c r="E91" s="11">
        <f t="shared" si="41"/>
        <v>23000</v>
      </c>
      <c r="F91" s="11">
        <f t="shared" si="41"/>
        <v>0</v>
      </c>
      <c r="G91" s="11">
        <f t="shared" si="41"/>
        <v>23000</v>
      </c>
      <c r="H91" s="11">
        <f t="shared" si="41"/>
        <v>0</v>
      </c>
      <c r="K91" s="24"/>
      <c r="L91" s="24"/>
      <c r="M91" s="24"/>
    </row>
    <row r="92" spans="1:13" s="10" customFormat="1" ht="12.75">
      <c r="A92" s="9" t="s">
        <v>29</v>
      </c>
      <c r="B92" s="28" t="s">
        <v>28</v>
      </c>
      <c r="C92" s="11">
        <f aca="true" t="shared" si="42" ref="C92:H92">SUM(C93:C94)</f>
        <v>23000</v>
      </c>
      <c r="D92" s="11">
        <f t="shared" si="42"/>
        <v>0</v>
      </c>
      <c r="E92" s="11">
        <f t="shared" si="42"/>
        <v>23000</v>
      </c>
      <c r="F92" s="11">
        <f t="shared" si="42"/>
        <v>0</v>
      </c>
      <c r="G92" s="11">
        <f t="shared" si="42"/>
        <v>23000</v>
      </c>
      <c r="H92" s="11">
        <f t="shared" si="42"/>
        <v>0</v>
      </c>
      <c r="K92" s="24"/>
      <c r="L92" s="24"/>
      <c r="M92" s="24"/>
    </row>
    <row r="93" spans="1:13" ht="12.75">
      <c r="A93" s="69">
        <v>1</v>
      </c>
      <c r="B93" s="78" t="s">
        <v>229</v>
      </c>
      <c r="C93" s="74">
        <v>20000</v>
      </c>
      <c r="D93" s="26">
        <v>3000</v>
      </c>
      <c r="E93" s="71">
        <f>C93+D93</f>
        <v>23000</v>
      </c>
      <c r="F93" s="74"/>
      <c r="G93" s="74">
        <f>23000-3000+3000</f>
        <v>23000</v>
      </c>
      <c r="H93" s="76"/>
      <c r="K93" s="24"/>
      <c r="L93" s="24"/>
      <c r="M93" s="24"/>
    </row>
    <row r="94" spans="1:13" ht="12.75">
      <c r="A94" s="69">
        <v>2</v>
      </c>
      <c r="B94" s="78" t="s">
        <v>57</v>
      </c>
      <c r="C94" s="74">
        <v>3000</v>
      </c>
      <c r="D94" s="26">
        <v>-3000</v>
      </c>
      <c r="E94" s="71">
        <f>C94+D94</f>
        <v>0</v>
      </c>
      <c r="F94" s="74"/>
      <c r="G94" s="74">
        <f>3000-3000</f>
        <v>0</v>
      </c>
      <c r="H94" s="76"/>
      <c r="K94" s="24"/>
      <c r="L94" s="24"/>
      <c r="M94" s="24"/>
    </row>
    <row r="95" spans="1:13" ht="25.5">
      <c r="A95" s="56" t="s">
        <v>134</v>
      </c>
      <c r="B95" s="12" t="s">
        <v>4</v>
      </c>
      <c r="C95" s="14">
        <f aca="true" t="shared" si="43" ref="C95:H96">C96</f>
        <v>28000</v>
      </c>
      <c r="D95" s="14">
        <f t="shared" si="43"/>
        <v>0</v>
      </c>
      <c r="E95" s="14">
        <f t="shared" si="43"/>
        <v>28000</v>
      </c>
      <c r="F95" s="14">
        <f t="shared" si="43"/>
        <v>0</v>
      </c>
      <c r="G95" s="14">
        <f t="shared" si="43"/>
        <v>28000</v>
      </c>
      <c r="H95" s="14">
        <f t="shared" si="43"/>
        <v>0</v>
      </c>
      <c r="K95" s="24"/>
      <c r="L95" s="24"/>
      <c r="M95" s="24"/>
    </row>
    <row r="96" spans="1:13" s="10" customFormat="1" ht="12.75">
      <c r="A96" s="9" t="s">
        <v>23</v>
      </c>
      <c r="B96" s="29" t="s">
        <v>22</v>
      </c>
      <c r="C96" s="30">
        <f t="shared" si="43"/>
        <v>28000</v>
      </c>
      <c r="D96" s="30">
        <f t="shared" si="43"/>
        <v>0</v>
      </c>
      <c r="E96" s="30">
        <f t="shared" si="43"/>
        <v>28000</v>
      </c>
      <c r="F96" s="30">
        <f t="shared" si="43"/>
        <v>0</v>
      </c>
      <c r="G96" s="30">
        <f t="shared" si="43"/>
        <v>28000</v>
      </c>
      <c r="H96" s="30">
        <f t="shared" si="43"/>
        <v>0</v>
      </c>
      <c r="K96" s="24"/>
      <c r="L96" s="24"/>
      <c r="M96" s="24"/>
    </row>
    <row r="97" spans="1:13" s="10" customFormat="1" ht="12.75">
      <c r="A97" s="9" t="s">
        <v>29</v>
      </c>
      <c r="B97" s="29" t="s">
        <v>28</v>
      </c>
      <c r="C97" s="30">
        <f aca="true" t="shared" si="44" ref="C97:H97">SUM(C98:C101)</f>
        <v>28000</v>
      </c>
      <c r="D97" s="30">
        <f t="shared" si="44"/>
        <v>0</v>
      </c>
      <c r="E97" s="30">
        <f t="shared" si="44"/>
        <v>28000</v>
      </c>
      <c r="F97" s="30">
        <f t="shared" si="44"/>
        <v>0</v>
      </c>
      <c r="G97" s="30">
        <f t="shared" si="44"/>
        <v>28000</v>
      </c>
      <c r="H97" s="30">
        <f t="shared" si="44"/>
        <v>0</v>
      </c>
      <c r="K97" s="24"/>
      <c r="L97" s="24"/>
      <c r="M97" s="24"/>
    </row>
    <row r="98" spans="1:13" ht="12.75">
      <c r="A98" s="69">
        <v>1</v>
      </c>
      <c r="B98" s="79" t="s">
        <v>32</v>
      </c>
      <c r="C98" s="76">
        <v>11000</v>
      </c>
      <c r="D98" s="76"/>
      <c r="E98" s="71">
        <f>C98+D98</f>
        <v>11000</v>
      </c>
      <c r="F98" s="72"/>
      <c r="G98" s="72">
        <v>11000</v>
      </c>
      <c r="H98" s="80"/>
      <c r="K98" s="24"/>
      <c r="L98" s="24"/>
      <c r="M98" s="24"/>
    </row>
    <row r="99" spans="1:13" ht="12.75">
      <c r="A99" s="69">
        <v>2</v>
      </c>
      <c r="B99" s="79" t="s">
        <v>33</v>
      </c>
      <c r="C99" s="76">
        <v>6500</v>
      </c>
      <c r="D99" s="76"/>
      <c r="E99" s="71">
        <f>C99+D99</f>
        <v>6500</v>
      </c>
      <c r="F99" s="72"/>
      <c r="G99" s="72">
        <v>6500</v>
      </c>
      <c r="H99" s="80"/>
      <c r="K99" s="24"/>
      <c r="L99" s="24"/>
      <c r="M99" s="24"/>
    </row>
    <row r="100" spans="1:13" ht="12.75">
      <c r="A100" s="69">
        <v>3</v>
      </c>
      <c r="B100" s="79" t="s">
        <v>34</v>
      </c>
      <c r="C100" s="76">
        <v>6000</v>
      </c>
      <c r="D100" s="76"/>
      <c r="E100" s="71">
        <f>C100+D100</f>
        <v>6000</v>
      </c>
      <c r="F100" s="72"/>
      <c r="G100" s="72">
        <v>6000</v>
      </c>
      <c r="H100" s="80"/>
      <c r="K100" s="24"/>
      <c r="L100" s="24"/>
      <c r="M100" s="24"/>
    </row>
    <row r="101" spans="1:13" ht="12.75">
      <c r="A101" s="69">
        <v>4</v>
      </c>
      <c r="B101" s="79" t="s">
        <v>212</v>
      </c>
      <c r="C101" s="76">
        <v>4500</v>
      </c>
      <c r="D101" s="76"/>
      <c r="E101" s="71">
        <v>4500</v>
      </c>
      <c r="F101" s="72"/>
      <c r="G101" s="72">
        <v>4500</v>
      </c>
      <c r="H101" s="80"/>
      <c r="K101" s="24"/>
      <c r="L101" s="24"/>
      <c r="M101" s="24"/>
    </row>
    <row r="102" spans="1:13" ht="38.25">
      <c r="A102" s="57" t="s">
        <v>135</v>
      </c>
      <c r="B102" s="15" t="s">
        <v>5</v>
      </c>
      <c r="C102" s="16">
        <f aca="true" t="shared" si="45" ref="C102:H102">C103+C107</f>
        <v>330000</v>
      </c>
      <c r="D102" s="16">
        <f t="shared" si="45"/>
        <v>0</v>
      </c>
      <c r="E102" s="16">
        <f t="shared" si="45"/>
        <v>330000</v>
      </c>
      <c r="F102" s="16">
        <f t="shared" si="45"/>
        <v>0</v>
      </c>
      <c r="G102" s="16">
        <f t="shared" si="45"/>
        <v>330000</v>
      </c>
      <c r="H102" s="16">
        <f t="shared" si="45"/>
        <v>0</v>
      </c>
      <c r="K102" s="24"/>
      <c r="L102" s="24"/>
      <c r="M102" s="24"/>
    </row>
    <row r="103" spans="1:13" s="10" customFormat="1" ht="12.75">
      <c r="A103" s="9" t="s">
        <v>26</v>
      </c>
      <c r="B103" s="28" t="s">
        <v>25</v>
      </c>
      <c r="C103" s="11">
        <f aca="true" t="shared" si="46" ref="C103:H103">SUM(C104:C106)</f>
        <v>250000</v>
      </c>
      <c r="D103" s="11">
        <f t="shared" si="46"/>
        <v>6000</v>
      </c>
      <c r="E103" s="11">
        <f t="shared" si="46"/>
        <v>256000</v>
      </c>
      <c r="F103" s="11">
        <f t="shared" si="46"/>
        <v>0</v>
      </c>
      <c r="G103" s="11">
        <f t="shared" si="46"/>
        <v>256000</v>
      </c>
      <c r="H103" s="11">
        <f t="shared" si="46"/>
        <v>0</v>
      </c>
      <c r="K103" s="24"/>
      <c r="L103" s="24"/>
      <c r="M103" s="24"/>
    </row>
    <row r="104" spans="1:13" ht="12.75">
      <c r="A104" s="69">
        <v>1</v>
      </c>
      <c r="B104" s="78" t="s">
        <v>84</v>
      </c>
      <c r="C104" s="74">
        <v>0</v>
      </c>
      <c r="D104" s="74"/>
      <c r="E104" s="71">
        <f>C104+D104</f>
        <v>0</v>
      </c>
      <c r="F104" s="72"/>
      <c r="G104" s="72">
        <f>80000-80000</f>
        <v>0</v>
      </c>
      <c r="H104" s="80"/>
      <c r="K104" s="24"/>
      <c r="L104" s="24"/>
      <c r="M104" s="24"/>
    </row>
    <row r="105" spans="1:13" ht="12.75">
      <c r="A105" s="69">
        <v>2</v>
      </c>
      <c r="B105" s="78" t="s">
        <v>85</v>
      </c>
      <c r="C105" s="74">
        <v>250000</v>
      </c>
      <c r="D105" s="74">
        <v>-76000</v>
      </c>
      <c r="E105" s="71">
        <f>C105+D105</f>
        <v>174000</v>
      </c>
      <c r="F105" s="72"/>
      <c r="G105" s="72">
        <f>250000-76000</f>
        <v>174000</v>
      </c>
      <c r="H105" s="80"/>
      <c r="K105" s="24"/>
      <c r="L105" s="24"/>
      <c r="M105" s="24"/>
    </row>
    <row r="106" spans="1:13" ht="12.75">
      <c r="A106" s="69">
        <v>3</v>
      </c>
      <c r="B106" s="78" t="s">
        <v>213</v>
      </c>
      <c r="C106" s="74"/>
      <c r="D106" s="74">
        <v>82000</v>
      </c>
      <c r="E106" s="71">
        <f>C106+D106</f>
        <v>82000</v>
      </c>
      <c r="F106" s="72"/>
      <c r="G106" s="72">
        <v>82000</v>
      </c>
      <c r="H106" s="80"/>
      <c r="K106" s="24"/>
      <c r="L106" s="24"/>
      <c r="M106" s="24"/>
    </row>
    <row r="107" spans="1:13" s="10" customFormat="1" ht="12.75">
      <c r="A107" s="9" t="s">
        <v>23</v>
      </c>
      <c r="B107" s="28" t="s">
        <v>22</v>
      </c>
      <c r="C107" s="11">
        <f aca="true" t="shared" si="47" ref="C107:H107">C108</f>
        <v>80000</v>
      </c>
      <c r="D107" s="11">
        <f t="shared" si="47"/>
        <v>-6000</v>
      </c>
      <c r="E107" s="11">
        <f t="shared" si="47"/>
        <v>74000</v>
      </c>
      <c r="F107" s="11">
        <f t="shared" si="47"/>
        <v>0</v>
      </c>
      <c r="G107" s="11">
        <f t="shared" si="47"/>
        <v>74000</v>
      </c>
      <c r="H107" s="11">
        <f t="shared" si="47"/>
        <v>0</v>
      </c>
      <c r="K107" s="24"/>
      <c r="L107" s="24"/>
      <c r="M107" s="24"/>
    </row>
    <row r="108" spans="1:13" s="10" customFormat="1" ht="12.75">
      <c r="A108" s="9" t="s">
        <v>29</v>
      </c>
      <c r="B108" s="28" t="s">
        <v>28</v>
      </c>
      <c r="C108" s="11">
        <f aca="true" t="shared" si="48" ref="C108:H108">SUM(C109)</f>
        <v>80000</v>
      </c>
      <c r="D108" s="11">
        <f t="shared" si="48"/>
        <v>-6000</v>
      </c>
      <c r="E108" s="11">
        <f t="shared" si="48"/>
        <v>74000</v>
      </c>
      <c r="F108" s="11">
        <f t="shared" si="48"/>
        <v>0</v>
      </c>
      <c r="G108" s="11">
        <f t="shared" si="48"/>
        <v>74000</v>
      </c>
      <c r="H108" s="11">
        <f t="shared" si="48"/>
        <v>0</v>
      </c>
      <c r="K108" s="24"/>
      <c r="L108" s="24"/>
      <c r="M108" s="24"/>
    </row>
    <row r="109" spans="1:13" ht="12.75">
      <c r="A109" s="69">
        <v>4</v>
      </c>
      <c r="B109" s="78" t="s">
        <v>84</v>
      </c>
      <c r="C109" s="74">
        <v>80000</v>
      </c>
      <c r="D109" s="26">
        <v>-6000</v>
      </c>
      <c r="E109" s="71">
        <f>C109+D109</f>
        <v>74000</v>
      </c>
      <c r="F109" s="72"/>
      <c r="G109" s="72">
        <f>80000-6000</f>
        <v>74000</v>
      </c>
      <c r="H109" s="80"/>
      <c r="K109" s="24"/>
      <c r="L109" s="24"/>
      <c r="M109" s="24"/>
    </row>
    <row r="110" spans="1:13" ht="38.25">
      <c r="A110" s="57" t="s">
        <v>135</v>
      </c>
      <c r="B110" s="15" t="s">
        <v>6</v>
      </c>
      <c r="C110" s="16">
        <f aca="true" t="shared" si="49" ref="C110:H111">C111</f>
        <v>8000</v>
      </c>
      <c r="D110" s="16">
        <f t="shared" si="49"/>
        <v>0</v>
      </c>
      <c r="E110" s="16">
        <f t="shared" si="49"/>
        <v>8000</v>
      </c>
      <c r="F110" s="16">
        <f t="shared" si="49"/>
        <v>0</v>
      </c>
      <c r="G110" s="16">
        <f t="shared" si="49"/>
        <v>8000</v>
      </c>
      <c r="H110" s="16">
        <f t="shared" si="49"/>
        <v>0</v>
      </c>
      <c r="K110" s="24"/>
      <c r="L110" s="24"/>
      <c r="M110" s="24"/>
    </row>
    <row r="111" spans="1:13" s="10" customFormat="1" ht="12.75">
      <c r="A111" s="9" t="s">
        <v>23</v>
      </c>
      <c r="B111" s="28" t="s">
        <v>22</v>
      </c>
      <c r="C111" s="11">
        <f t="shared" si="49"/>
        <v>8000</v>
      </c>
      <c r="D111" s="11">
        <f t="shared" si="49"/>
        <v>0</v>
      </c>
      <c r="E111" s="11">
        <f t="shared" si="49"/>
        <v>8000</v>
      </c>
      <c r="F111" s="11">
        <f t="shared" si="49"/>
        <v>0</v>
      </c>
      <c r="G111" s="11">
        <f t="shared" si="49"/>
        <v>8000</v>
      </c>
      <c r="H111" s="11">
        <f t="shared" si="49"/>
        <v>0</v>
      </c>
      <c r="K111" s="24"/>
      <c r="L111" s="24"/>
      <c r="M111" s="24"/>
    </row>
    <row r="112" spans="1:13" s="10" customFormat="1" ht="12.75">
      <c r="A112" s="9" t="s">
        <v>29</v>
      </c>
      <c r="B112" s="28" t="s">
        <v>28</v>
      </c>
      <c r="C112" s="11">
        <f aca="true" t="shared" si="50" ref="C112:H112">SUM(C113:C114)</f>
        <v>8000</v>
      </c>
      <c r="D112" s="11">
        <f t="shared" si="50"/>
        <v>0</v>
      </c>
      <c r="E112" s="11">
        <f t="shared" si="50"/>
        <v>8000</v>
      </c>
      <c r="F112" s="11">
        <f t="shared" si="50"/>
        <v>0</v>
      </c>
      <c r="G112" s="11">
        <f t="shared" si="50"/>
        <v>8000</v>
      </c>
      <c r="H112" s="11">
        <f t="shared" si="50"/>
        <v>0</v>
      </c>
      <c r="K112" s="24"/>
      <c r="L112" s="24"/>
      <c r="M112" s="24"/>
    </row>
    <row r="113" spans="1:13" ht="12.75">
      <c r="A113" s="69">
        <v>1</v>
      </c>
      <c r="B113" s="78" t="s">
        <v>31</v>
      </c>
      <c r="C113" s="74">
        <v>6000</v>
      </c>
      <c r="D113" s="74"/>
      <c r="E113" s="71">
        <f>C113+D113</f>
        <v>6000</v>
      </c>
      <c r="F113" s="72"/>
      <c r="G113" s="72">
        <v>6000</v>
      </c>
      <c r="H113" s="80"/>
      <c r="K113" s="24"/>
      <c r="L113" s="24"/>
      <c r="M113" s="24"/>
    </row>
    <row r="114" spans="1:13" ht="12.75">
      <c r="A114" s="69">
        <v>2</v>
      </c>
      <c r="B114" s="78" t="s">
        <v>30</v>
      </c>
      <c r="C114" s="74">
        <v>2000</v>
      </c>
      <c r="D114" s="74"/>
      <c r="E114" s="71">
        <f>C114+D114</f>
        <v>2000</v>
      </c>
      <c r="F114" s="72"/>
      <c r="G114" s="72">
        <v>2000</v>
      </c>
      <c r="H114" s="80"/>
      <c r="K114" s="24"/>
      <c r="L114" s="24"/>
      <c r="M114" s="24"/>
    </row>
    <row r="115" spans="1:13" ht="38.25">
      <c r="A115" s="57" t="s">
        <v>135</v>
      </c>
      <c r="B115" s="15" t="s">
        <v>136</v>
      </c>
      <c r="C115" s="16">
        <f aca="true" t="shared" si="51" ref="C115:H115">C116+C119</f>
        <v>90000</v>
      </c>
      <c r="D115" s="16">
        <f t="shared" si="51"/>
        <v>0</v>
      </c>
      <c r="E115" s="16">
        <f t="shared" si="51"/>
        <v>90000</v>
      </c>
      <c r="F115" s="16">
        <f t="shared" si="51"/>
        <v>0</v>
      </c>
      <c r="G115" s="16">
        <f t="shared" si="51"/>
        <v>90000</v>
      </c>
      <c r="H115" s="16">
        <f t="shared" si="51"/>
        <v>0</v>
      </c>
      <c r="K115" s="24"/>
      <c r="L115" s="24"/>
      <c r="M115" s="24"/>
    </row>
    <row r="116" spans="1:13" s="10" customFormat="1" ht="12.75">
      <c r="A116" s="9" t="s">
        <v>26</v>
      </c>
      <c r="B116" s="28" t="s">
        <v>25</v>
      </c>
      <c r="C116" s="32">
        <f aca="true" t="shared" si="52" ref="C116:H116">SUM(C117:C118)</f>
        <v>81000</v>
      </c>
      <c r="D116" s="32">
        <f t="shared" si="52"/>
        <v>0</v>
      </c>
      <c r="E116" s="32">
        <f t="shared" si="52"/>
        <v>81000</v>
      </c>
      <c r="F116" s="32">
        <f t="shared" si="52"/>
        <v>0</v>
      </c>
      <c r="G116" s="32">
        <f t="shared" si="52"/>
        <v>81000</v>
      </c>
      <c r="H116" s="32">
        <f t="shared" si="52"/>
        <v>0</v>
      </c>
      <c r="K116" s="24"/>
      <c r="L116" s="24"/>
      <c r="M116" s="24"/>
    </row>
    <row r="117" spans="1:13" ht="12.75">
      <c r="A117" s="69">
        <v>1</v>
      </c>
      <c r="B117" s="81" t="s">
        <v>35</v>
      </c>
      <c r="C117" s="82">
        <v>27000</v>
      </c>
      <c r="D117" s="82"/>
      <c r="E117" s="71">
        <f>C117+D117</f>
        <v>27000</v>
      </c>
      <c r="F117" s="82"/>
      <c r="G117" s="72">
        <v>27000</v>
      </c>
      <c r="H117" s="80"/>
      <c r="K117" s="24"/>
      <c r="L117" s="24"/>
      <c r="M117" s="24"/>
    </row>
    <row r="118" spans="1:13" ht="12.75">
      <c r="A118" s="69">
        <v>2</v>
      </c>
      <c r="B118" s="81" t="s">
        <v>36</v>
      </c>
      <c r="C118" s="82">
        <v>54000</v>
      </c>
      <c r="D118" s="82"/>
      <c r="E118" s="71">
        <f>C118+D118</f>
        <v>54000</v>
      </c>
      <c r="F118" s="82"/>
      <c r="G118" s="72">
        <v>54000</v>
      </c>
      <c r="H118" s="80"/>
      <c r="K118" s="24"/>
      <c r="L118" s="24"/>
      <c r="M118" s="24"/>
    </row>
    <row r="119" spans="1:13" s="10" customFormat="1" ht="12.75">
      <c r="A119" s="9" t="s">
        <v>23</v>
      </c>
      <c r="B119" s="28" t="s">
        <v>22</v>
      </c>
      <c r="C119" s="32">
        <f aca="true" t="shared" si="53" ref="C119:H119">C120</f>
        <v>9000</v>
      </c>
      <c r="D119" s="32">
        <f t="shared" si="53"/>
        <v>0</v>
      </c>
      <c r="E119" s="32">
        <f t="shared" si="53"/>
        <v>9000</v>
      </c>
      <c r="F119" s="32">
        <f t="shared" si="53"/>
        <v>0</v>
      </c>
      <c r="G119" s="32">
        <f t="shared" si="53"/>
        <v>9000</v>
      </c>
      <c r="H119" s="32">
        <f t="shared" si="53"/>
        <v>0</v>
      </c>
      <c r="K119" s="24"/>
      <c r="L119" s="24"/>
      <c r="M119" s="24"/>
    </row>
    <row r="120" spans="1:13" s="10" customFormat="1" ht="25.5">
      <c r="A120" s="9" t="s">
        <v>24</v>
      </c>
      <c r="B120" s="28" t="s">
        <v>117</v>
      </c>
      <c r="C120" s="32">
        <f aca="true" t="shared" si="54" ref="C120:H120">SUM(C121:C122)</f>
        <v>9000</v>
      </c>
      <c r="D120" s="32">
        <f t="shared" si="54"/>
        <v>0</v>
      </c>
      <c r="E120" s="32">
        <f t="shared" si="54"/>
        <v>9000</v>
      </c>
      <c r="F120" s="32">
        <f t="shared" si="54"/>
        <v>0</v>
      </c>
      <c r="G120" s="32">
        <f t="shared" si="54"/>
        <v>9000</v>
      </c>
      <c r="H120" s="32">
        <f t="shared" si="54"/>
        <v>0</v>
      </c>
      <c r="K120" s="24"/>
      <c r="L120" s="24"/>
      <c r="M120" s="24"/>
    </row>
    <row r="121" spans="1:13" ht="25.5">
      <c r="A121" s="69">
        <v>3</v>
      </c>
      <c r="B121" s="81" t="s">
        <v>37</v>
      </c>
      <c r="C121" s="82">
        <v>3000</v>
      </c>
      <c r="D121" s="82"/>
      <c r="E121" s="71">
        <f>C121+D121</f>
        <v>3000</v>
      </c>
      <c r="F121" s="82"/>
      <c r="G121" s="72">
        <v>3000</v>
      </c>
      <c r="H121" s="80"/>
      <c r="K121" s="24"/>
      <c r="L121" s="24"/>
      <c r="M121" s="24"/>
    </row>
    <row r="122" spans="1:13" ht="25.5">
      <c r="A122" s="69">
        <v>4</v>
      </c>
      <c r="B122" s="81" t="s">
        <v>38</v>
      </c>
      <c r="C122" s="82">
        <v>6000</v>
      </c>
      <c r="D122" s="82"/>
      <c r="E122" s="71">
        <f>C122+D122</f>
        <v>6000</v>
      </c>
      <c r="F122" s="82"/>
      <c r="G122" s="72">
        <v>6000</v>
      </c>
      <c r="H122" s="80"/>
      <c r="K122" s="24"/>
      <c r="L122" s="24"/>
      <c r="M122" s="24"/>
    </row>
    <row r="123" spans="1:13" ht="25.5">
      <c r="A123" s="57" t="s">
        <v>130</v>
      </c>
      <c r="B123" s="15" t="s">
        <v>7</v>
      </c>
      <c r="C123" s="16">
        <f aca="true" t="shared" si="55" ref="C123:H123">SUM(C124:C126)</f>
        <v>9120000</v>
      </c>
      <c r="D123" s="16">
        <f t="shared" si="55"/>
        <v>-2269000</v>
      </c>
      <c r="E123" s="16">
        <f t="shared" si="55"/>
        <v>6851000</v>
      </c>
      <c r="F123" s="16">
        <f t="shared" si="55"/>
        <v>0</v>
      </c>
      <c r="G123" s="16">
        <f t="shared" si="55"/>
        <v>6851000</v>
      </c>
      <c r="H123" s="16">
        <f t="shared" si="55"/>
        <v>0</v>
      </c>
      <c r="K123" s="24"/>
      <c r="L123" s="24"/>
      <c r="M123" s="24"/>
    </row>
    <row r="124" spans="1:13" s="10" customFormat="1" ht="12.75">
      <c r="A124" s="9" t="s">
        <v>62</v>
      </c>
      <c r="B124" s="20" t="s">
        <v>61</v>
      </c>
      <c r="C124" s="32">
        <f aca="true" t="shared" si="56" ref="C124:H124">C130+C141+C195</f>
        <v>6446000</v>
      </c>
      <c r="D124" s="32">
        <f t="shared" si="56"/>
        <v>-2369000</v>
      </c>
      <c r="E124" s="32">
        <f t="shared" si="56"/>
        <v>4077000</v>
      </c>
      <c r="F124" s="32">
        <f t="shared" si="56"/>
        <v>0</v>
      </c>
      <c r="G124" s="32">
        <f t="shared" si="56"/>
        <v>4077000</v>
      </c>
      <c r="H124" s="32">
        <f t="shared" si="56"/>
        <v>0</v>
      </c>
      <c r="K124" s="24"/>
      <c r="L124" s="24"/>
      <c r="M124" s="24"/>
    </row>
    <row r="125" spans="1:13" s="10" customFormat="1" ht="12.75">
      <c r="A125" s="9" t="s">
        <v>26</v>
      </c>
      <c r="B125" s="28" t="s">
        <v>25</v>
      </c>
      <c r="C125" s="32">
        <f aca="true" t="shared" si="57" ref="C125:H125">C132+C147+C157</f>
        <v>1738500</v>
      </c>
      <c r="D125" s="32">
        <f t="shared" si="57"/>
        <v>-236000</v>
      </c>
      <c r="E125" s="32">
        <f t="shared" si="57"/>
        <v>1502500</v>
      </c>
      <c r="F125" s="32">
        <f t="shared" si="57"/>
        <v>0</v>
      </c>
      <c r="G125" s="32">
        <f t="shared" si="57"/>
        <v>1502500</v>
      </c>
      <c r="H125" s="32">
        <f t="shared" si="57"/>
        <v>0</v>
      </c>
      <c r="K125" s="24"/>
      <c r="L125" s="24"/>
      <c r="M125" s="24"/>
    </row>
    <row r="126" spans="1:13" s="10" customFormat="1" ht="12.75">
      <c r="A126" s="9" t="s">
        <v>23</v>
      </c>
      <c r="B126" s="28" t="s">
        <v>22</v>
      </c>
      <c r="C126" s="32">
        <f aca="true" t="shared" si="58" ref="C126:H126">SUM(C127:C128)</f>
        <v>935500</v>
      </c>
      <c r="D126" s="32">
        <f t="shared" si="58"/>
        <v>336000</v>
      </c>
      <c r="E126" s="32">
        <f t="shared" si="58"/>
        <v>1271500</v>
      </c>
      <c r="F126" s="32">
        <f t="shared" si="58"/>
        <v>0</v>
      </c>
      <c r="G126" s="32">
        <f t="shared" si="58"/>
        <v>1271500</v>
      </c>
      <c r="H126" s="32">
        <f t="shared" si="58"/>
        <v>0</v>
      </c>
      <c r="K126" s="24"/>
      <c r="L126" s="24"/>
      <c r="M126" s="24"/>
    </row>
    <row r="127" spans="1:13" s="10" customFormat="1" ht="12.75">
      <c r="A127" s="9" t="s">
        <v>29</v>
      </c>
      <c r="B127" s="28" t="s">
        <v>28</v>
      </c>
      <c r="C127" s="32">
        <f aca="true" t="shared" si="59" ref="C127:H127">C136+C144+C162</f>
        <v>390000</v>
      </c>
      <c r="D127" s="32">
        <f t="shared" si="59"/>
        <v>336000</v>
      </c>
      <c r="E127" s="32">
        <f t="shared" si="59"/>
        <v>726000</v>
      </c>
      <c r="F127" s="32">
        <f t="shared" si="59"/>
        <v>0</v>
      </c>
      <c r="G127" s="32">
        <f t="shared" si="59"/>
        <v>726000</v>
      </c>
      <c r="H127" s="32">
        <f t="shared" si="59"/>
        <v>0</v>
      </c>
      <c r="K127" s="24"/>
      <c r="L127" s="24"/>
      <c r="M127" s="24"/>
    </row>
    <row r="128" spans="1:13" s="10" customFormat="1" ht="25.5">
      <c r="A128" s="9" t="s">
        <v>24</v>
      </c>
      <c r="B128" s="28" t="s">
        <v>117</v>
      </c>
      <c r="C128" s="32">
        <f aca="true" t="shared" si="60" ref="C128:H128">C138+C151+C189</f>
        <v>545500</v>
      </c>
      <c r="D128" s="32">
        <f t="shared" si="60"/>
        <v>0</v>
      </c>
      <c r="E128" s="32">
        <f t="shared" si="60"/>
        <v>545500</v>
      </c>
      <c r="F128" s="32">
        <f t="shared" si="60"/>
        <v>0</v>
      </c>
      <c r="G128" s="32">
        <f t="shared" si="60"/>
        <v>545500</v>
      </c>
      <c r="H128" s="32">
        <f t="shared" si="60"/>
        <v>0</v>
      </c>
      <c r="K128" s="24"/>
      <c r="L128" s="24"/>
      <c r="M128" s="24"/>
    </row>
    <row r="129" spans="1:13" ht="25.5">
      <c r="A129" s="58" t="s">
        <v>130</v>
      </c>
      <c r="B129" s="17" t="s">
        <v>8</v>
      </c>
      <c r="C129" s="19">
        <f aca="true" t="shared" si="61" ref="C129:H129">C130+C132+C135</f>
        <v>2056000</v>
      </c>
      <c r="D129" s="19">
        <f t="shared" si="61"/>
        <v>0</v>
      </c>
      <c r="E129" s="19">
        <f t="shared" si="61"/>
        <v>2056000</v>
      </c>
      <c r="F129" s="19">
        <f t="shared" si="61"/>
        <v>0</v>
      </c>
      <c r="G129" s="19">
        <f t="shared" si="61"/>
        <v>2056000</v>
      </c>
      <c r="H129" s="19">
        <f t="shared" si="61"/>
        <v>0</v>
      </c>
      <c r="K129" s="24"/>
      <c r="L129" s="24"/>
      <c r="M129" s="24"/>
    </row>
    <row r="130" spans="1:13" s="10" customFormat="1" ht="12.75">
      <c r="A130" s="9" t="s">
        <v>62</v>
      </c>
      <c r="B130" s="20" t="s">
        <v>61</v>
      </c>
      <c r="C130" s="32">
        <f aca="true" t="shared" si="62" ref="C130:H130">SUM(C131:C131)</f>
        <v>1877000</v>
      </c>
      <c r="D130" s="32">
        <f t="shared" si="62"/>
        <v>0</v>
      </c>
      <c r="E130" s="32">
        <f t="shared" si="62"/>
        <v>1877000</v>
      </c>
      <c r="F130" s="32">
        <f t="shared" si="62"/>
        <v>0</v>
      </c>
      <c r="G130" s="32">
        <f t="shared" si="62"/>
        <v>1877000</v>
      </c>
      <c r="H130" s="32">
        <f t="shared" si="62"/>
        <v>0</v>
      </c>
      <c r="K130" s="24"/>
      <c r="L130" s="24"/>
      <c r="M130" s="24"/>
    </row>
    <row r="131" spans="1:13" ht="25.5">
      <c r="A131" s="69">
        <v>1</v>
      </c>
      <c r="B131" s="81" t="s">
        <v>166</v>
      </c>
      <c r="C131" s="82">
        <v>1877000</v>
      </c>
      <c r="D131" s="82"/>
      <c r="E131" s="71">
        <f>C131+D131</f>
        <v>1877000</v>
      </c>
      <c r="F131" s="72"/>
      <c r="G131" s="72">
        <v>1877000</v>
      </c>
      <c r="H131" s="80"/>
      <c r="K131" s="24"/>
      <c r="L131" s="24"/>
      <c r="M131" s="24"/>
    </row>
    <row r="132" spans="1:13" s="10" customFormat="1" ht="12.75">
      <c r="A132" s="9" t="s">
        <v>26</v>
      </c>
      <c r="B132" s="28" t="s">
        <v>25</v>
      </c>
      <c r="C132" s="32">
        <f aca="true" t="shared" si="63" ref="C132:H132">SUM(C133:C134)</f>
        <v>90000</v>
      </c>
      <c r="D132" s="32">
        <f t="shared" si="63"/>
        <v>0</v>
      </c>
      <c r="E132" s="32">
        <f t="shared" si="63"/>
        <v>90000</v>
      </c>
      <c r="F132" s="32">
        <f t="shared" si="63"/>
        <v>0</v>
      </c>
      <c r="G132" s="32">
        <f t="shared" si="63"/>
        <v>90000</v>
      </c>
      <c r="H132" s="32">
        <f t="shared" si="63"/>
        <v>0</v>
      </c>
      <c r="K132" s="24"/>
      <c r="L132" s="24"/>
      <c r="M132" s="24"/>
    </row>
    <row r="133" spans="1:13" s="10" customFormat="1" ht="25.5">
      <c r="A133" s="69">
        <v>2</v>
      </c>
      <c r="B133" s="81" t="s">
        <v>199</v>
      </c>
      <c r="C133" s="82">
        <v>78000</v>
      </c>
      <c r="D133" s="82"/>
      <c r="E133" s="71">
        <f>C133+D133</f>
        <v>78000</v>
      </c>
      <c r="F133" s="72"/>
      <c r="G133" s="72">
        <v>78000</v>
      </c>
      <c r="H133" s="32"/>
      <c r="K133" s="24"/>
      <c r="L133" s="24"/>
      <c r="M133" s="24"/>
    </row>
    <row r="134" spans="1:13" ht="12.75">
      <c r="A134" s="69">
        <v>3</v>
      </c>
      <c r="B134" s="81" t="s">
        <v>75</v>
      </c>
      <c r="C134" s="82">
        <v>12000</v>
      </c>
      <c r="D134" s="82"/>
      <c r="E134" s="71">
        <f>C134+D134</f>
        <v>12000</v>
      </c>
      <c r="F134" s="72"/>
      <c r="G134" s="72">
        <v>12000</v>
      </c>
      <c r="H134" s="80"/>
      <c r="K134" s="24"/>
      <c r="L134" s="24"/>
      <c r="M134" s="24"/>
    </row>
    <row r="135" spans="1:13" s="10" customFormat="1" ht="12.75">
      <c r="A135" s="9" t="s">
        <v>23</v>
      </c>
      <c r="B135" s="28" t="s">
        <v>22</v>
      </c>
      <c r="C135" s="32">
        <f aca="true" t="shared" si="64" ref="C135:H135">C136+C138</f>
        <v>89000</v>
      </c>
      <c r="D135" s="32">
        <f t="shared" si="64"/>
        <v>0</v>
      </c>
      <c r="E135" s="32">
        <f t="shared" si="64"/>
        <v>89000</v>
      </c>
      <c r="F135" s="32">
        <f t="shared" si="64"/>
        <v>0</v>
      </c>
      <c r="G135" s="32">
        <f t="shared" si="64"/>
        <v>89000</v>
      </c>
      <c r="H135" s="32">
        <f t="shared" si="64"/>
        <v>0</v>
      </c>
      <c r="K135" s="24"/>
      <c r="L135" s="24"/>
      <c r="M135" s="24"/>
    </row>
    <row r="136" spans="1:13" s="10" customFormat="1" ht="12.75">
      <c r="A136" s="9" t="s">
        <v>29</v>
      </c>
      <c r="B136" s="28" t="s">
        <v>28</v>
      </c>
      <c r="C136" s="32">
        <f aca="true" t="shared" si="65" ref="C136:H136">SUM(C137:C137)</f>
        <v>3000</v>
      </c>
      <c r="D136" s="32">
        <f t="shared" si="65"/>
        <v>0</v>
      </c>
      <c r="E136" s="32">
        <f t="shared" si="65"/>
        <v>3000</v>
      </c>
      <c r="F136" s="32">
        <f t="shared" si="65"/>
        <v>0</v>
      </c>
      <c r="G136" s="32">
        <f t="shared" si="65"/>
        <v>3000</v>
      </c>
      <c r="H136" s="32">
        <f t="shared" si="65"/>
        <v>0</v>
      </c>
      <c r="K136" s="24"/>
      <c r="L136" s="24"/>
      <c r="M136" s="24"/>
    </row>
    <row r="137" spans="1:13" ht="12.75">
      <c r="A137" s="69">
        <v>4</v>
      </c>
      <c r="B137" s="81" t="s">
        <v>74</v>
      </c>
      <c r="C137" s="82">
        <v>3000</v>
      </c>
      <c r="D137" s="82"/>
      <c r="E137" s="71">
        <f>C137+D137</f>
        <v>3000</v>
      </c>
      <c r="F137" s="72"/>
      <c r="G137" s="72">
        <v>3000</v>
      </c>
      <c r="H137" s="80"/>
      <c r="K137" s="24"/>
      <c r="L137" s="24"/>
      <c r="M137" s="24"/>
    </row>
    <row r="138" spans="1:13" s="10" customFormat="1" ht="25.5">
      <c r="A138" s="9" t="s">
        <v>24</v>
      </c>
      <c r="B138" s="28" t="s">
        <v>117</v>
      </c>
      <c r="C138" s="32">
        <f aca="true" t="shared" si="66" ref="C138:H138">SUM(C139)</f>
        <v>86000</v>
      </c>
      <c r="D138" s="32">
        <f t="shared" si="66"/>
        <v>0</v>
      </c>
      <c r="E138" s="32">
        <f t="shared" si="66"/>
        <v>86000</v>
      </c>
      <c r="F138" s="32">
        <f t="shared" si="66"/>
        <v>0</v>
      </c>
      <c r="G138" s="32">
        <f t="shared" si="66"/>
        <v>86000</v>
      </c>
      <c r="H138" s="32">
        <f t="shared" si="66"/>
        <v>0</v>
      </c>
      <c r="K138" s="24"/>
      <c r="L138" s="24"/>
      <c r="M138" s="24"/>
    </row>
    <row r="139" spans="1:13" ht="25.5">
      <c r="A139" s="69">
        <v>5</v>
      </c>
      <c r="B139" s="81" t="s">
        <v>189</v>
      </c>
      <c r="C139" s="82">
        <v>86000</v>
      </c>
      <c r="D139" s="82"/>
      <c r="E139" s="71">
        <f>C139+D139</f>
        <v>86000</v>
      </c>
      <c r="F139" s="72"/>
      <c r="G139" s="72">
        <v>86000</v>
      </c>
      <c r="H139" s="80"/>
      <c r="K139" s="24"/>
      <c r="L139" s="24"/>
      <c r="M139" s="24"/>
    </row>
    <row r="140" spans="1:13" ht="25.5">
      <c r="A140" s="58" t="s">
        <v>130</v>
      </c>
      <c r="B140" s="17" t="s">
        <v>9</v>
      </c>
      <c r="C140" s="18">
        <f aca="true" t="shared" si="67" ref="C140:H140">C141+C143</f>
        <v>818000</v>
      </c>
      <c r="D140" s="18">
        <f t="shared" si="67"/>
        <v>0</v>
      </c>
      <c r="E140" s="18">
        <f t="shared" si="67"/>
        <v>818000</v>
      </c>
      <c r="F140" s="18">
        <f t="shared" si="67"/>
        <v>0</v>
      </c>
      <c r="G140" s="18">
        <f t="shared" si="67"/>
        <v>818000</v>
      </c>
      <c r="H140" s="18">
        <f t="shared" si="67"/>
        <v>0</v>
      </c>
      <c r="K140" s="24"/>
      <c r="L140" s="24"/>
      <c r="M140" s="24"/>
    </row>
    <row r="141" spans="1:13" s="10" customFormat="1" ht="12.75">
      <c r="A141" s="9" t="s">
        <v>62</v>
      </c>
      <c r="B141" s="20" t="s">
        <v>61</v>
      </c>
      <c r="C141" s="32">
        <f aca="true" t="shared" si="68" ref="C141:H141">C142</f>
        <v>800000</v>
      </c>
      <c r="D141" s="32">
        <f t="shared" si="68"/>
        <v>0</v>
      </c>
      <c r="E141" s="32">
        <f t="shared" si="68"/>
        <v>800000</v>
      </c>
      <c r="F141" s="32">
        <f t="shared" si="68"/>
        <v>0</v>
      </c>
      <c r="G141" s="32">
        <f t="shared" si="68"/>
        <v>800000</v>
      </c>
      <c r="H141" s="32">
        <f t="shared" si="68"/>
        <v>0</v>
      </c>
      <c r="K141" s="24"/>
      <c r="L141" s="24"/>
      <c r="M141" s="24"/>
    </row>
    <row r="142" spans="1:13" ht="12.75">
      <c r="A142" s="69">
        <v>1</v>
      </c>
      <c r="B142" s="81" t="s">
        <v>77</v>
      </c>
      <c r="C142" s="82">
        <v>800000</v>
      </c>
      <c r="D142" s="82"/>
      <c r="E142" s="71">
        <f>C142+D142</f>
        <v>800000</v>
      </c>
      <c r="F142" s="72"/>
      <c r="G142" s="72">
        <v>800000</v>
      </c>
      <c r="H142" s="80"/>
      <c r="K142" s="24"/>
      <c r="L142" s="24"/>
      <c r="M142" s="24"/>
    </row>
    <row r="143" spans="1:13" s="10" customFormat="1" ht="12.75">
      <c r="A143" s="9" t="s">
        <v>23</v>
      </c>
      <c r="B143" s="28" t="s">
        <v>22</v>
      </c>
      <c r="C143" s="32">
        <f aca="true" t="shared" si="69" ref="C143:H143">C144</f>
        <v>18000</v>
      </c>
      <c r="D143" s="32">
        <f t="shared" si="69"/>
        <v>0</v>
      </c>
      <c r="E143" s="32">
        <f t="shared" si="69"/>
        <v>18000</v>
      </c>
      <c r="F143" s="32">
        <f t="shared" si="69"/>
        <v>0</v>
      </c>
      <c r="G143" s="32">
        <f t="shared" si="69"/>
        <v>18000</v>
      </c>
      <c r="H143" s="32">
        <f t="shared" si="69"/>
        <v>0</v>
      </c>
      <c r="K143" s="24"/>
      <c r="L143" s="24"/>
      <c r="M143" s="24"/>
    </row>
    <row r="144" spans="1:13" s="10" customFormat="1" ht="12.75">
      <c r="A144" s="9" t="s">
        <v>29</v>
      </c>
      <c r="B144" s="28" t="s">
        <v>28</v>
      </c>
      <c r="C144" s="32">
        <f aca="true" t="shared" si="70" ref="C144:H144">SUM(C145:C145)</f>
        <v>18000</v>
      </c>
      <c r="D144" s="32">
        <f t="shared" si="70"/>
        <v>0</v>
      </c>
      <c r="E144" s="32">
        <f t="shared" si="70"/>
        <v>18000</v>
      </c>
      <c r="F144" s="32">
        <f t="shared" si="70"/>
        <v>0</v>
      </c>
      <c r="G144" s="32">
        <f t="shared" si="70"/>
        <v>18000</v>
      </c>
      <c r="H144" s="32">
        <f t="shared" si="70"/>
        <v>0</v>
      </c>
      <c r="K144" s="24"/>
      <c r="L144" s="24"/>
      <c r="M144" s="24"/>
    </row>
    <row r="145" spans="1:13" ht="12.75">
      <c r="A145" s="69">
        <v>2</v>
      </c>
      <c r="B145" s="81" t="s">
        <v>78</v>
      </c>
      <c r="C145" s="82">
        <v>18000</v>
      </c>
      <c r="D145" s="82"/>
      <c r="E145" s="71">
        <f>C145+D145</f>
        <v>18000</v>
      </c>
      <c r="F145" s="72"/>
      <c r="G145" s="72">
        <v>18000</v>
      </c>
      <c r="H145" s="80"/>
      <c r="K145" s="24"/>
      <c r="L145" s="24"/>
      <c r="M145" s="24"/>
    </row>
    <row r="146" spans="1:13" ht="25.5">
      <c r="A146" s="58" t="s">
        <v>130</v>
      </c>
      <c r="B146" s="17" t="s">
        <v>208</v>
      </c>
      <c r="C146" s="19">
        <f aca="true" t="shared" si="71" ref="C146:H146">C147+C150</f>
        <v>1418000</v>
      </c>
      <c r="D146" s="19">
        <f t="shared" si="71"/>
        <v>-1401500</v>
      </c>
      <c r="E146" s="19">
        <f t="shared" si="71"/>
        <v>16500</v>
      </c>
      <c r="F146" s="19">
        <f t="shared" si="71"/>
        <v>0</v>
      </c>
      <c r="G146" s="19">
        <f t="shared" si="71"/>
        <v>16500</v>
      </c>
      <c r="H146" s="19">
        <f t="shared" si="71"/>
        <v>0</v>
      </c>
      <c r="K146" s="24"/>
      <c r="L146" s="24"/>
      <c r="M146" s="24"/>
    </row>
    <row r="147" spans="1:13" s="10" customFormat="1" ht="12.75">
      <c r="A147" s="9" t="s">
        <v>26</v>
      </c>
      <c r="B147" s="20" t="s">
        <v>25</v>
      </c>
      <c r="C147" s="11">
        <f aca="true" t="shared" si="72" ref="C147:H147">SUM(C148:C149)</f>
        <v>1288500</v>
      </c>
      <c r="D147" s="11">
        <f t="shared" si="72"/>
        <v>-1288500</v>
      </c>
      <c r="E147" s="11">
        <f t="shared" si="72"/>
        <v>0</v>
      </c>
      <c r="F147" s="11">
        <f t="shared" si="72"/>
        <v>0</v>
      </c>
      <c r="G147" s="11">
        <f t="shared" si="72"/>
        <v>0</v>
      </c>
      <c r="H147" s="11">
        <f t="shared" si="72"/>
        <v>0</v>
      </c>
      <c r="K147" s="24"/>
      <c r="L147" s="24"/>
      <c r="M147" s="24"/>
    </row>
    <row r="148" spans="1:13" ht="12.75">
      <c r="A148" s="69">
        <v>1</v>
      </c>
      <c r="B148" s="78" t="s">
        <v>79</v>
      </c>
      <c r="C148" s="74">
        <v>252000</v>
      </c>
      <c r="D148" s="74">
        <v>-252000</v>
      </c>
      <c r="E148" s="71">
        <f>C148+D148</f>
        <v>0</v>
      </c>
      <c r="F148" s="72"/>
      <c r="G148" s="72">
        <f>252000-252000</f>
        <v>0</v>
      </c>
      <c r="H148" s="80"/>
      <c r="K148" s="24"/>
      <c r="L148" s="24"/>
      <c r="M148" s="24"/>
    </row>
    <row r="149" spans="1:13" ht="12.75">
      <c r="A149" s="69">
        <v>2</v>
      </c>
      <c r="B149" s="78" t="s">
        <v>80</v>
      </c>
      <c r="C149" s="74">
        <v>1036500</v>
      </c>
      <c r="D149" s="74">
        <v>-1036500</v>
      </c>
      <c r="E149" s="71">
        <f>C149+D149</f>
        <v>0</v>
      </c>
      <c r="F149" s="72"/>
      <c r="G149" s="72">
        <f>1036500-1036500</f>
        <v>0</v>
      </c>
      <c r="H149" s="80"/>
      <c r="K149" s="24"/>
      <c r="L149" s="24"/>
      <c r="M149" s="24"/>
    </row>
    <row r="150" spans="1:13" s="10" customFormat="1" ht="12.75">
      <c r="A150" s="9" t="s">
        <v>23</v>
      </c>
      <c r="B150" s="28" t="s">
        <v>22</v>
      </c>
      <c r="C150" s="11">
        <f aca="true" t="shared" si="73" ref="C150:H150">C151</f>
        <v>129500</v>
      </c>
      <c r="D150" s="11">
        <f t="shared" si="73"/>
        <v>-113000</v>
      </c>
      <c r="E150" s="11">
        <f t="shared" si="73"/>
        <v>16500</v>
      </c>
      <c r="F150" s="11">
        <f t="shared" si="73"/>
        <v>0</v>
      </c>
      <c r="G150" s="11">
        <f t="shared" si="73"/>
        <v>16500</v>
      </c>
      <c r="H150" s="11">
        <f t="shared" si="73"/>
        <v>0</v>
      </c>
      <c r="K150" s="24"/>
      <c r="L150" s="24"/>
      <c r="M150" s="24"/>
    </row>
    <row r="151" spans="1:13" s="10" customFormat="1" ht="25.5">
      <c r="A151" s="43" t="s">
        <v>24</v>
      </c>
      <c r="B151" s="28" t="s">
        <v>117</v>
      </c>
      <c r="C151" s="11">
        <f aca="true" t="shared" si="74" ref="C151:H151">SUM(C152:C155)</f>
        <v>129500</v>
      </c>
      <c r="D151" s="11">
        <f t="shared" si="74"/>
        <v>-113000</v>
      </c>
      <c r="E151" s="11">
        <f t="shared" si="74"/>
        <v>16500</v>
      </c>
      <c r="F151" s="11">
        <f t="shared" si="74"/>
        <v>0</v>
      </c>
      <c r="G151" s="11">
        <f t="shared" si="74"/>
        <v>16500</v>
      </c>
      <c r="H151" s="11">
        <f t="shared" si="74"/>
        <v>0</v>
      </c>
      <c r="K151" s="24"/>
      <c r="L151" s="24"/>
      <c r="M151" s="24"/>
    </row>
    <row r="152" spans="1:13" ht="12.75">
      <c r="A152" s="69">
        <v>3</v>
      </c>
      <c r="B152" s="78" t="s">
        <v>81</v>
      </c>
      <c r="C152" s="74">
        <v>16500</v>
      </c>
      <c r="D152" s="26"/>
      <c r="E152" s="71">
        <f>C152+D152</f>
        <v>16500</v>
      </c>
      <c r="F152" s="72"/>
      <c r="G152" s="72">
        <v>16500</v>
      </c>
      <c r="H152" s="80"/>
      <c r="K152" s="24"/>
      <c r="L152" s="24"/>
      <c r="M152" s="24"/>
    </row>
    <row r="153" spans="1:13" ht="25.5">
      <c r="A153" s="69">
        <v>4</v>
      </c>
      <c r="B153" s="78" t="s">
        <v>82</v>
      </c>
      <c r="C153" s="74">
        <v>58000</v>
      </c>
      <c r="D153" s="26">
        <v>-58000</v>
      </c>
      <c r="E153" s="71">
        <f>C153+D153</f>
        <v>0</v>
      </c>
      <c r="F153" s="72"/>
      <c r="G153" s="72">
        <f>58000-58000</f>
        <v>0</v>
      </c>
      <c r="H153" s="80"/>
      <c r="K153" s="24"/>
      <c r="L153" s="24"/>
      <c r="M153" s="24"/>
    </row>
    <row r="154" spans="1:13" ht="25.5">
      <c r="A154" s="69">
        <v>5</v>
      </c>
      <c r="B154" s="78" t="s">
        <v>171</v>
      </c>
      <c r="C154" s="74">
        <v>55000</v>
      </c>
      <c r="D154" s="26">
        <v>-55000</v>
      </c>
      <c r="E154" s="71">
        <f>C154+D154</f>
        <v>0</v>
      </c>
      <c r="F154" s="72"/>
      <c r="G154" s="72">
        <f>55000-55000</f>
        <v>0</v>
      </c>
      <c r="H154" s="80"/>
      <c r="K154" s="24"/>
      <c r="L154" s="24"/>
      <c r="M154" s="24"/>
    </row>
    <row r="155" spans="1:13" ht="12.75">
      <c r="A155" s="69">
        <v>6</v>
      </c>
      <c r="B155" s="78" t="s">
        <v>83</v>
      </c>
      <c r="C155" s="74">
        <v>0</v>
      </c>
      <c r="D155" s="26"/>
      <c r="E155" s="71">
        <f>C155+D155</f>
        <v>0</v>
      </c>
      <c r="F155" s="72"/>
      <c r="G155" s="72">
        <f>78500-78500</f>
        <v>0</v>
      </c>
      <c r="H155" s="80"/>
      <c r="K155" s="24"/>
      <c r="L155" s="24"/>
      <c r="M155" s="24"/>
    </row>
    <row r="156" spans="1:13" ht="25.5">
      <c r="A156" s="58" t="s">
        <v>130</v>
      </c>
      <c r="B156" s="17" t="s">
        <v>10</v>
      </c>
      <c r="C156" s="19">
        <f aca="true" t="shared" si="75" ref="C156:H156">C157+C161</f>
        <v>1059000</v>
      </c>
      <c r="D156" s="19">
        <f t="shared" si="75"/>
        <v>1501500</v>
      </c>
      <c r="E156" s="19">
        <f t="shared" si="75"/>
        <v>2560500</v>
      </c>
      <c r="F156" s="19">
        <f t="shared" si="75"/>
        <v>0</v>
      </c>
      <c r="G156" s="19">
        <f t="shared" si="75"/>
        <v>2560500</v>
      </c>
      <c r="H156" s="19">
        <f t="shared" si="75"/>
        <v>0</v>
      </c>
      <c r="K156" s="24"/>
      <c r="L156" s="24"/>
      <c r="M156" s="24"/>
    </row>
    <row r="157" spans="1:13" s="48" customFormat="1" ht="12.75">
      <c r="A157" s="9" t="s">
        <v>26</v>
      </c>
      <c r="B157" s="20" t="s">
        <v>25</v>
      </c>
      <c r="C157" s="11">
        <f aca="true" t="shared" si="76" ref="C157:H157">SUM(C158:C160)</f>
        <v>360000</v>
      </c>
      <c r="D157" s="11">
        <f t="shared" si="76"/>
        <v>1052500</v>
      </c>
      <c r="E157" s="11">
        <f t="shared" si="76"/>
        <v>1412500</v>
      </c>
      <c r="F157" s="11">
        <f t="shared" si="76"/>
        <v>0</v>
      </c>
      <c r="G157" s="11">
        <f t="shared" si="76"/>
        <v>1412500</v>
      </c>
      <c r="H157" s="11">
        <f t="shared" si="76"/>
        <v>0</v>
      </c>
      <c r="K157" s="24"/>
      <c r="L157" s="24"/>
      <c r="M157" s="24"/>
    </row>
    <row r="158" spans="1:13" s="37" customFormat="1" ht="25.5">
      <c r="A158" s="59">
        <v>1</v>
      </c>
      <c r="B158" s="33" t="s">
        <v>60</v>
      </c>
      <c r="C158" s="34">
        <v>360000</v>
      </c>
      <c r="D158" s="44"/>
      <c r="E158" s="71">
        <f>C158+D158</f>
        <v>360000</v>
      </c>
      <c r="F158" s="35"/>
      <c r="G158" s="35">
        <v>360000</v>
      </c>
      <c r="H158" s="36"/>
      <c r="K158" s="24"/>
      <c r="L158" s="24"/>
      <c r="M158" s="24"/>
    </row>
    <row r="159" spans="1:13" s="37" customFormat="1" ht="12.75">
      <c r="A159" s="59">
        <v>2</v>
      </c>
      <c r="B159" s="33" t="s">
        <v>79</v>
      </c>
      <c r="C159" s="34"/>
      <c r="D159" s="74">
        <v>252000</v>
      </c>
      <c r="E159" s="71">
        <f>C159+D159</f>
        <v>252000</v>
      </c>
      <c r="F159" s="35"/>
      <c r="G159" s="35">
        <v>252000</v>
      </c>
      <c r="H159" s="36"/>
      <c r="K159" s="24"/>
      <c r="L159" s="24"/>
      <c r="M159" s="24"/>
    </row>
    <row r="160" spans="1:13" s="37" customFormat="1" ht="12.75">
      <c r="A160" s="59">
        <v>3</v>
      </c>
      <c r="B160" s="33" t="s">
        <v>80</v>
      </c>
      <c r="C160" s="34"/>
      <c r="D160" s="74">
        <v>800500</v>
      </c>
      <c r="E160" s="71">
        <f>C160+D160</f>
        <v>800500</v>
      </c>
      <c r="F160" s="35"/>
      <c r="G160" s="35">
        <v>800500</v>
      </c>
      <c r="H160" s="36"/>
      <c r="K160" s="24"/>
      <c r="L160" s="24"/>
      <c r="M160" s="24"/>
    </row>
    <row r="161" spans="1:13" s="10" customFormat="1" ht="12.75">
      <c r="A161" s="9" t="s">
        <v>23</v>
      </c>
      <c r="B161" s="28" t="s">
        <v>22</v>
      </c>
      <c r="C161" s="11">
        <f aca="true" t="shared" si="77" ref="C161:H161">C162+C189</f>
        <v>699000</v>
      </c>
      <c r="D161" s="11">
        <f t="shared" si="77"/>
        <v>449000</v>
      </c>
      <c r="E161" s="11">
        <f t="shared" si="77"/>
        <v>1148000</v>
      </c>
      <c r="F161" s="11">
        <f t="shared" si="77"/>
        <v>0</v>
      </c>
      <c r="G161" s="11">
        <f t="shared" si="77"/>
        <v>1148000</v>
      </c>
      <c r="H161" s="11">
        <f t="shared" si="77"/>
        <v>0</v>
      </c>
      <c r="K161" s="24"/>
      <c r="L161" s="24"/>
      <c r="M161" s="24"/>
    </row>
    <row r="162" spans="1:13" s="10" customFormat="1" ht="12.75">
      <c r="A162" s="9" t="s">
        <v>29</v>
      </c>
      <c r="B162" s="28" t="s">
        <v>28</v>
      </c>
      <c r="C162" s="11">
        <f aca="true" t="shared" si="78" ref="C162:H162">C163+C165+C168+C173+C176+C178+C181+C185+C187</f>
        <v>369000</v>
      </c>
      <c r="D162" s="11">
        <f t="shared" si="78"/>
        <v>336000</v>
      </c>
      <c r="E162" s="11">
        <f t="shared" si="78"/>
        <v>705000</v>
      </c>
      <c r="F162" s="11">
        <f t="shared" si="78"/>
        <v>0</v>
      </c>
      <c r="G162" s="11">
        <f t="shared" si="78"/>
        <v>705000</v>
      </c>
      <c r="H162" s="11">
        <f t="shared" si="78"/>
        <v>0</v>
      </c>
      <c r="K162" s="24"/>
      <c r="L162" s="24"/>
      <c r="M162" s="24"/>
    </row>
    <row r="163" spans="1:13" s="10" customFormat="1" ht="12.75">
      <c r="A163" s="9"/>
      <c r="B163" s="28" t="s">
        <v>40</v>
      </c>
      <c r="C163" s="11">
        <f aca="true" t="shared" si="79" ref="C163:H163">SUM(C164:C164)</f>
        <v>11000</v>
      </c>
      <c r="D163" s="11">
        <f t="shared" si="79"/>
        <v>0</v>
      </c>
      <c r="E163" s="11">
        <f t="shared" si="79"/>
        <v>11000</v>
      </c>
      <c r="F163" s="11">
        <f t="shared" si="79"/>
        <v>0</v>
      </c>
      <c r="G163" s="11">
        <f t="shared" si="79"/>
        <v>11000</v>
      </c>
      <c r="H163" s="11">
        <f t="shared" si="79"/>
        <v>0</v>
      </c>
      <c r="K163" s="24"/>
      <c r="L163" s="24"/>
      <c r="M163" s="24"/>
    </row>
    <row r="164" spans="1:13" s="37" customFormat="1" ht="12.75">
      <c r="A164" s="83">
        <v>4</v>
      </c>
      <c r="B164" s="33" t="s">
        <v>39</v>
      </c>
      <c r="C164" s="34">
        <v>11000</v>
      </c>
      <c r="D164" s="34"/>
      <c r="E164" s="71">
        <f>C164+D164</f>
        <v>11000</v>
      </c>
      <c r="F164" s="34"/>
      <c r="G164" s="35">
        <v>11000</v>
      </c>
      <c r="H164" s="36"/>
      <c r="K164" s="24"/>
      <c r="L164" s="24"/>
      <c r="M164" s="24"/>
    </row>
    <row r="165" spans="1:13" s="37" customFormat="1" ht="12.75">
      <c r="A165" s="60"/>
      <c r="B165" s="20" t="s">
        <v>41</v>
      </c>
      <c r="C165" s="11">
        <f aca="true" t="shared" si="80" ref="C165:H165">SUM(C166:C167)</f>
        <v>18000</v>
      </c>
      <c r="D165" s="11">
        <f t="shared" si="80"/>
        <v>0</v>
      </c>
      <c r="E165" s="11">
        <f t="shared" si="80"/>
        <v>18000</v>
      </c>
      <c r="F165" s="11">
        <f t="shared" si="80"/>
        <v>0</v>
      </c>
      <c r="G165" s="11">
        <f t="shared" si="80"/>
        <v>18000</v>
      </c>
      <c r="H165" s="11">
        <f t="shared" si="80"/>
        <v>0</v>
      </c>
      <c r="K165" s="24"/>
      <c r="L165" s="24"/>
      <c r="M165" s="24"/>
    </row>
    <row r="166" spans="1:13" s="37" customFormat="1" ht="12.75">
      <c r="A166" s="60">
        <v>5</v>
      </c>
      <c r="B166" s="33" t="s">
        <v>44</v>
      </c>
      <c r="C166" s="34">
        <v>15000</v>
      </c>
      <c r="D166" s="34"/>
      <c r="E166" s="71">
        <f>C166+D166</f>
        <v>15000</v>
      </c>
      <c r="F166" s="34"/>
      <c r="G166" s="35">
        <v>15000</v>
      </c>
      <c r="H166" s="36"/>
      <c r="K166" s="24"/>
      <c r="L166" s="24"/>
      <c r="M166" s="24"/>
    </row>
    <row r="167" spans="1:13" s="37" customFormat="1" ht="12.75">
      <c r="A167" s="60">
        <v>6</v>
      </c>
      <c r="B167" s="33" t="s">
        <v>42</v>
      </c>
      <c r="C167" s="34">
        <v>3000</v>
      </c>
      <c r="D167" s="34"/>
      <c r="E167" s="71">
        <f>C167+D167</f>
        <v>3000</v>
      </c>
      <c r="F167" s="34"/>
      <c r="G167" s="35">
        <v>3000</v>
      </c>
      <c r="H167" s="36"/>
      <c r="K167" s="24"/>
      <c r="L167" s="24"/>
      <c r="M167" s="24"/>
    </row>
    <row r="168" spans="1:13" s="37" customFormat="1" ht="12.75">
      <c r="A168" s="60"/>
      <c r="B168" s="20" t="s">
        <v>43</v>
      </c>
      <c r="C168" s="11">
        <f aca="true" t="shared" si="81" ref="C168:H168">SUM(C169:C172)</f>
        <v>129000</v>
      </c>
      <c r="D168" s="11">
        <f t="shared" si="81"/>
        <v>0</v>
      </c>
      <c r="E168" s="11">
        <f t="shared" si="81"/>
        <v>129000</v>
      </c>
      <c r="F168" s="11">
        <f t="shared" si="81"/>
        <v>0</v>
      </c>
      <c r="G168" s="11">
        <f t="shared" si="81"/>
        <v>129000</v>
      </c>
      <c r="H168" s="11">
        <f t="shared" si="81"/>
        <v>0</v>
      </c>
      <c r="K168" s="24"/>
      <c r="L168" s="24"/>
      <c r="M168" s="24"/>
    </row>
    <row r="169" spans="1:13" s="37" customFormat="1" ht="12.75">
      <c r="A169" s="60">
        <v>7</v>
      </c>
      <c r="B169" s="33" t="s">
        <v>44</v>
      </c>
      <c r="C169" s="34">
        <v>50000</v>
      </c>
      <c r="D169" s="74"/>
      <c r="E169" s="71">
        <f>C169+D169</f>
        <v>50000</v>
      </c>
      <c r="F169" s="34"/>
      <c r="G169" s="35">
        <f>30000+20000</f>
        <v>50000</v>
      </c>
      <c r="H169" s="36"/>
      <c r="K169" s="24"/>
      <c r="L169" s="24"/>
      <c r="M169" s="24"/>
    </row>
    <row r="170" spans="1:13" s="37" customFormat="1" ht="12.75">
      <c r="A170" s="60">
        <v>8</v>
      </c>
      <c r="B170" s="33" t="s">
        <v>45</v>
      </c>
      <c r="C170" s="34">
        <v>30000</v>
      </c>
      <c r="D170" s="34"/>
      <c r="E170" s="71">
        <f>C170+D170</f>
        <v>30000</v>
      </c>
      <c r="F170" s="34"/>
      <c r="G170" s="35">
        <v>30000</v>
      </c>
      <c r="H170" s="36"/>
      <c r="K170" s="24"/>
      <c r="L170" s="24"/>
      <c r="M170" s="24"/>
    </row>
    <row r="171" spans="1:13" s="37" customFormat="1" ht="25.5">
      <c r="A171" s="60">
        <v>9</v>
      </c>
      <c r="B171" s="33" t="s">
        <v>46</v>
      </c>
      <c r="C171" s="34">
        <v>40000</v>
      </c>
      <c r="D171" s="34"/>
      <c r="E171" s="71">
        <f>C171+D171</f>
        <v>40000</v>
      </c>
      <c r="F171" s="34"/>
      <c r="G171" s="35">
        <v>40000</v>
      </c>
      <c r="H171" s="36"/>
      <c r="K171" s="24"/>
      <c r="L171" s="24"/>
      <c r="M171" s="24"/>
    </row>
    <row r="172" spans="1:13" s="37" customFormat="1" ht="12.75">
      <c r="A172" s="60">
        <v>10</v>
      </c>
      <c r="B172" s="33" t="s">
        <v>167</v>
      </c>
      <c r="C172" s="34">
        <v>9000</v>
      </c>
      <c r="D172" s="34"/>
      <c r="E172" s="71">
        <f>C172+D172</f>
        <v>9000</v>
      </c>
      <c r="F172" s="34"/>
      <c r="G172" s="35">
        <v>9000</v>
      </c>
      <c r="H172" s="36"/>
      <c r="K172" s="24"/>
      <c r="L172" s="24"/>
      <c r="M172" s="24"/>
    </row>
    <row r="173" spans="1:13" s="37" customFormat="1" ht="12.75">
      <c r="A173" s="60"/>
      <c r="B173" s="20" t="s">
        <v>47</v>
      </c>
      <c r="C173" s="11">
        <f aca="true" t="shared" si="82" ref="C173:H173">SUM(C174:C175)</f>
        <v>25000</v>
      </c>
      <c r="D173" s="11">
        <f t="shared" si="82"/>
        <v>0</v>
      </c>
      <c r="E173" s="11">
        <f t="shared" si="82"/>
        <v>25000</v>
      </c>
      <c r="F173" s="11">
        <f t="shared" si="82"/>
        <v>0</v>
      </c>
      <c r="G173" s="11">
        <f t="shared" si="82"/>
        <v>25000</v>
      </c>
      <c r="H173" s="11">
        <f t="shared" si="82"/>
        <v>0</v>
      </c>
      <c r="K173" s="24"/>
      <c r="L173" s="24"/>
      <c r="M173" s="24"/>
    </row>
    <row r="174" spans="1:13" s="37" customFormat="1" ht="12.75">
      <c r="A174" s="60">
        <v>11</v>
      </c>
      <c r="B174" s="33" t="s">
        <v>44</v>
      </c>
      <c r="C174" s="34">
        <v>15000</v>
      </c>
      <c r="D174" s="34"/>
      <c r="E174" s="71">
        <f>C174+D174</f>
        <v>15000</v>
      </c>
      <c r="F174" s="34"/>
      <c r="G174" s="35">
        <v>15000</v>
      </c>
      <c r="H174" s="36"/>
      <c r="K174" s="24"/>
      <c r="L174" s="24"/>
      <c r="M174" s="24"/>
    </row>
    <row r="175" spans="1:13" s="37" customFormat="1" ht="12.75">
      <c r="A175" s="60">
        <v>12</v>
      </c>
      <c r="B175" s="33" t="s">
        <v>48</v>
      </c>
      <c r="C175" s="34">
        <v>10000</v>
      </c>
      <c r="D175" s="34"/>
      <c r="E175" s="71">
        <f>C175+D175</f>
        <v>10000</v>
      </c>
      <c r="F175" s="34"/>
      <c r="G175" s="35">
        <v>10000</v>
      </c>
      <c r="H175" s="36"/>
      <c r="K175" s="24"/>
      <c r="L175" s="24"/>
      <c r="M175" s="24"/>
    </row>
    <row r="176" spans="1:13" s="37" customFormat="1" ht="12.75">
      <c r="A176" s="60"/>
      <c r="B176" s="20" t="s">
        <v>49</v>
      </c>
      <c r="C176" s="11">
        <f aca="true" t="shared" si="83" ref="C176:H176">SUM(C177:C177)</f>
        <v>5000</v>
      </c>
      <c r="D176" s="11">
        <f t="shared" si="83"/>
        <v>0</v>
      </c>
      <c r="E176" s="11">
        <f t="shared" si="83"/>
        <v>5000</v>
      </c>
      <c r="F176" s="11">
        <f t="shared" si="83"/>
        <v>0</v>
      </c>
      <c r="G176" s="11">
        <f t="shared" si="83"/>
        <v>5000</v>
      </c>
      <c r="H176" s="11">
        <f t="shared" si="83"/>
        <v>0</v>
      </c>
      <c r="K176" s="24"/>
      <c r="L176" s="24"/>
      <c r="M176" s="24"/>
    </row>
    <row r="177" spans="1:13" s="37" customFormat="1" ht="12.75">
      <c r="A177" s="60">
        <v>13</v>
      </c>
      <c r="B177" s="33" t="s">
        <v>44</v>
      </c>
      <c r="C177" s="34">
        <v>5000</v>
      </c>
      <c r="D177" s="34"/>
      <c r="E177" s="71">
        <f>C177+D177</f>
        <v>5000</v>
      </c>
      <c r="F177" s="34"/>
      <c r="G177" s="35">
        <v>5000</v>
      </c>
      <c r="H177" s="36"/>
      <c r="K177" s="24"/>
      <c r="L177" s="24"/>
      <c r="M177" s="24"/>
    </row>
    <row r="178" spans="1:13" s="37" customFormat="1" ht="12.75">
      <c r="A178" s="60"/>
      <c r="B178" s="20" t="s">
        <v>50</v>
      </c>
      <c r="C178" s="11">
        <f aca="true" t="shared" si="84" ref="C178:H178">SUM(C179:C180)</f>
        <v>16000</v>
      </c>
      <c r="D178" s="11">
        <f t="shared" si="84"/>
        <v>0</v>
      </c>
      <c r="E178" s="11">
        <f t="shared" si="84"/>
        <v>16000</v>
      </c>
      <c r="F178" s="11">
        <f t="shared" si="84"/>
        <v>0</v>
      </c>
      <c r="G178" s="11">
        <f t="shared" si="84"/>
        <v>16000</v>
      </c>
      <c r="H178" s="11">
        <f t="shared" si="84"/>
        <v>0</v>
      </c>
      <c r="K178" s="24"/>
      <c r="L178" s="24"/>
      <c r="M178" s="24"/>
    </row>
    <row r="179" spans="1:13" s="37" customFormat="1" ht="12.75">
      <c r="A179" s="60">
        <v>14</v>
      </c>
      <c r="B179" s="33" t="s">
        <v>44</v>
      </c>
      <c r="C179" s="34">
        <v>10000</v>
      </c>
      <c r="D179" s="34"/>
      <c r="E179" s="71">
        <f>C179+D179</f>
        <v>10000</v>
      </c>
      <c r="F179" s="34"/>
      <c r="G179" s="35">
        <v>10000</v>
      </c>
      <c r="H179" s="36"/>
      <c r="K179" s="24"/>
      <c r="L179" s="24"/>
      <c r="M179" s="24"/>
    </row>
    <row r="180" spans="1:13" s="37" customFormat="1" ht="25.5">
      <c r="A180" s="60">
        <v>15</v>
      </c>
      <c r="B180" s="33" t="s">
        <v>51</v>
      </c>
      <c r="C180" s="34">
        <v>6000</v>
      </c>
      <c r="D180" s="34"/>
      <c r="E180" s="71">
        <f>C180+D180</f>
        <v>6000</v>
      </c>
      <c r="F180" s="34"/>
      <c r="G180" s="35">
        <v>6000</v>
      </c>
      <c r="H180" s="36"/>
      <c r="K180" s="24"/>
      <c r="L180" s="24"/>
      <c r="M180" s="24"/>
    </row>
    <row r="181" spans="1:13" s="37" customFormat="1" ht="12.75">
      <c r="A181" s="60"/>
      <c r="B181" s="20" t="s">
        <v>52</v>
      </c>
      <c r="C181" s="11">
        <f aca="true" t="shared" si="85" ref="C181:H181">SUM(C182:C184)</f>
        <v>160000</v>
      </c>
      <c r="D181" s="11">
        <f t="shared" si="85"/>
        <v>0</v>
      </c>
      <c r="E181" s="11">
        <f t="shared" si="85"/>
        <v>160000</v>
      </c>
      <c r="F181" s="11">
        <f t="shared" si="85"/>
        <v>0</v>
      </c>
      <c r="G181" s="11">
        <f t="shared" si="85"/>
        <v>160000</v>
      </c>
      <c r="H181" s="11">
        <f t="shared" si="85"/>
        <v>0</v>
      </c>
      <c r="K181" s="24"/>
      <c r="L181" s="24"/>
      <c r="M181" s="24"/>
    </row>
    <row r="182" spans="1:13" s="37" customFormat="1" ht="12.75">
      <c r="A182" s="60">
        <v>16</v>
      </c>
      <c r="B182" s="33" t="s">
        <v>55</v>
      </c>
      <c r="C182" s="34">
        <v>30000</v>
      </c>
      <c r="D182" s="34"/>
      <c r="E182" s="71">
        <f>C182+D182</f>
        <v>30000</v>
      </c>
      <c r="F182" s="34"/>
      <c r="G182" s="35">
        <v>30000</v>
      </c>
      <c r="H182" s="36"/>
      <c r="K182" s="24"/>
      <c r="L182" s="24"/>
      <c r="M182" s="24"/>
    </row>
    <row r="183" spans="1:13" s="37" customFormat="1" ht="12.75">
      <c r="A183" s="60">
        <v>17</v>
      </c>
      <c r="B183" s="33" t="s">
        <v>53</v>
      </c>
      <c r="C183" s="34">
        <v>10000</v>
      </c>
      <c r="D183" s="34"/>
      <c r="E183" s="71">
        <f>C183+D183</f>
        <v>10000</v>
      </c>
      <c r="F183" s="34"/>
      <c r="G183" s="35">
        <v>10000</v>
      </c>
      <c r="H183" s="36"/>
      <c r="K183" s="24"/>
      <c r="L183" s="24"/>
      <c r="M183" s="24"/>
    </row>
    <row r="184" spans="1:13" s="37" customFormat="1" ht="12.75">
      <c r="A184" s="60">
        <v>18</v>
      </c>
      <c r="B184" s="33" t="s">
        <v>54</v>
      </c>
      <c r="C184" s="34">
        <v>120000</v>
      </c>
      <c r="D184" s="74"/>
      <c r="E184" s="71">
        <f>C184+D184</f>
        <v>120000</v>
      </c>
      <c r="F184" s="34"/>
      <c r="G184" s="35">
        <f>140000-20000</f>
        <v>120000</v>
      </c>
      <c r="H184" s="36"/>
      <c r="K184" s="24"/>
      <c r="L184" s="24"/>
      <c r="M184" s="24"/>
    </row>
    <row r="185" spans="1:13" s="37" customFormat="1" ht="12.75">
      <c r="A185" s="60"/>
      <c r="B185" s="20" t="s">
        <v>58</v>
      </c>
      <c r="C185" s="11">
        <f aca="true" t="shared" si="86" ref="C185:H185">SUM(C186:C186)</f>
        <v>5000</v>
      </c>
      <c r="D185" s="11">
        <f t="shared" si="86"/>
        <v>0</v>
      </c>
      <c r="E185" s="11">
        <f t="shared" si="86"/>
        <v>5000</v>
      </c>
      <c r="F185" s="11">
        <f t="shared" si="86"/>
        <v>0</v>
      </c>
      <c r="G185" s="11">
        <f t="shared" si="86"/>
        <v>5000</v>
      </c>
      <c r="H185" s="11">
        <f t="shared" si="86"/>
        <v>0</v>
      </c>
      <c r="K185" s="24"/>
      <c r="L185" s="24"/>
      <c r="M185" s="24"/>
    </row>
    <row r="186" spans="1:13" s="37" customFormat="1" ht="12.75">
      <c r="A186" s="60">
        <v>19</v>
      </c>
      <c r="B186" s="33" t="s">
        <v>57</v>
      </c>
      <c r="C186" s="34">
        <v>5000</v>
      </c>
      <c r="D186" s="34"/>
      <c r="E186" s="71">
        <f>C186+D186</f>
        <v>5000</v>
      </c>
      <c r="F186" s="34"/>
      <c r="G186" s="35">
        <v>5000</v>
      </c>
      <c r="H186" s="36"/>
      <c r="K186" s="24"/>
      <c r="L186" s="24"/>
      <c r="M186" s="24"/>
    </row>
    <row r="187" spans="1:13" s="37" customFormat="1" ht="12.75">
      <c r="A187" s="60"/>
      <c r="B187" s="20" t="s">
        <v>215</v>
      </c>
      <c r="C187" s="11">
        <f aca="true" t="shared" si="87" ref="C187:H187">SUM(C188)</f>
        <v>0</v>
      </c>
      <c r="D187" s="11">
        <f t="shared" si="87"/>
        <v>336000</v>
      </c>
      <c r="E187" s="11">
        <f t="shared" si="87"/>
        <v>336000</v>
      </c>
      <c r="F187" s="11">
        <f t="shared" si="87"/>
        <v>0</v>
      </c>
      <c r="G187" s="11">
        <f t="shared" si="87"/>
        <v>336000</v>
      </c>
      <c r="H187" s="11">
        <f t="shared" si="87"/>
        <v>0</v>
      </c>
      <c r="K187" s="24"/>
      <c r="L187" s="24"/>
      <c r="M187" s="24"/>
    </row>
    <row r="188" spans="1:13" s="37" customFormat="1" ht="12.75">
      <c r="A188" s="60">
        <v>20</v>
      </c>
      <c r="B188" s="33" t="s">
        <v>216</v>
      </c>
      <c r="C188" s="34"/>
      <c r="D188" s="34">
        <v>336000</v>
      </c>
      <c r="E188" s="71">
        <f>C188+D188</f>
        <v>336000</v>
      </c>
      <c r="F188" s="34"/>
      <c r="G188" s="35">
        <v>336000</v>
      </c>
      <c r="H188" s="36"/>
      <c r="K188" s="24"/>
      <c r="L188" s="24"/>
      <c r="M188" s="24"/>
    </row>
    <row r="189" spans="1:13" s="37" customFormat="1" ht="25.5">
      <c r="A189" s="43" t="s">
        <v>24</v>
      </c>
      <c r="B189" s="28" t="s">
        <v>117</v>
      </c>
      <c r="C189" s="11">
        <f aca="true" t="shared" si="88" ref="C189:H189">SUM(C190:C193)</f>
        <v>330000</v>
      </c>
      <c r="D189" s="85">
        <f t="shared" si="88"/>
        <v>113000</v>
      </c>
      <c r="E189" s="11">
        <f t="shared" si="88"/>
        <v>443000</v>
      </c>
      <c r="F189" s="11">
        <f t="shared" si="88"/>
        <v>0</v>
      </c>
      <c r="G189" s="11">
        <f t="shared" si="88"/>
        <v>443000</v>
      </c>
      <c r="H189" s="11">
        <f t="shared" si="88"/>
        <v>0</v>
      </c>
      <c r="K189" s="24"/>
      <c r="L189" s="24"/>
      <c r="M189" s="24"/>
    </row>
    <row r="190" spans="1:13" s="37" customFormat="1" ht="12.75">
      <c r="A190" s="60">
        <v>21</v>
      </c>
      <c r="B190" s="33" t="s">
        <v>56</v>
      </c>
      <c r="C190" s="34">
        <v>290000</v>
      </c>
      <c r="D190" s="86"/>
      <c r="E190" s="71">
        <f>C190+D190</f>
        <v>290000</v>
      </c>
      <c r="F190" s="34"/>
      <c r="G190" s="35">
        <v>290000</v>
      </c>
      <c r="H190" s="36"/>
      <c r="K190" s="24"/>
      <c r="L190" s="24"/>
      <c r="M190" s="24"/>
    </row>
    <row r="191" spans="1:13" s="37" customFormat="1" ht="25.5">
      <c r="A191" s="60">
        <v>22</v>
      </c>
      <c r="B191" s="33" t="s">
        <v>59</v>
      </c>
      <c r="C191" s="34">
        <v>40000</v>
      </c>
      <c r="D191" s="86"/>
      <c r="E191" s="71">
        <f>C191+D191</f>
        <v>40000</v>
      </c>
      <c r="F191" s="34"/>
      <c r="G191" s="35">
        <v>40000</v>
      </c>
      <c r="H191" s="36"/>
      <c r="K191" s="24"/>
      <c r="L191" s="24"/>
      <c r="M191" s="24"/>
    </row>
    <row r="192" spans="1:13" s="37" customFormat="1" ht="25.5">
      <c r="A192" s="60">
        <v>23</v>
      </c>
      <c r="B192" s="33" t="s">
        <v>82</v>
      </c>
      <c r="C192" s="34"/>
      <c r="D192" s="86">
        <v>58000</v>
      </c>
      <c r="E192" s="71">
        <f>C192+D192</f>
        <v>58000</v>
      </c>
      <c r="F192" s="34"/>
      <c r="G192" s="35">
        <v>58000</v>
      </c>
      <c r="H192" s="36"/>
      <c r="K192" s="24"/>
      <c r="L192" s="24"/>
      <c r="M192" s="24"/>
    </row>
    <row r="193" spans="1:13" s="37" customFormat="1" ht="25.5">
      <c r="A193" s="60">
        <v>24</v>
      </c>
      <c r="B193" s="33" t="s">
        <v>171</v>
      </c>
      <c r="C193" s="34"/>
      <c r="D193" s="86">
        <v>55000</v>
      </c>
      <c r="E193" s="71">
        <f>C193+D193</f>
        <v>55000</v>
      </c>
      <c r="F193" s="34"/>
      <c r="G193" s="35">
        <v>55000</v>
      </c>
      <c r="H193" s="36"/>
      <c r="K193" s="24"/>
      <c r="L193" s="24"/>
      <c r="M193" s="24"/>
    </row>
    <row r="194" spans="1:13" ht="25.5">
      <c r="A194" s="58" t="s">
        <v>130</v>
      </c>
      <c r="B194" s="17" t="s">
        <v>11</v>
      </c>
      <c r="C194" s="19">
        <f aca="true" t="shared" si="89" ref="C194:H194">C195</f>
        <v>3769000</v>
      </c>
      <c r="D194" s="19">
        <f t="shared" si="89"/>
        <v>-2369000</v>
      </c>
      <c r="E194" s="19">
        <f t="shared" si="89"/>
        <v>1400000</v>
      </c>
      <c r="F194" s="19">
        <f t="shared" si="89"/>
        <v>0</v>
      </c>
      <c r="G194" s="19">
        <f t="shared" si="89"/>
        <v>1400000</v>
      </c>
      <c r="H194" s="19">
        <f t="shared" si="89"/>
        <v>0</v>
      </c>
      <c r="K194" s="24"/>
      <c r="L194" s="24"/>
      <c r="M194" s="24"/>
    </row>
    <row r="195" spans="1:13" s="10" customFormat="1" ht="12.75">
      <c r="A195" s="9" t="s">
        <v>62</v>
      </c>
      <c r="B195" s="20" t="s">
        <v>61</v>
      </c>
      <c r="C195" s="11">
        <f aca="true" t="shared" si="90" ref="C195:H195">SUM(C196)</f>
        <v>3769000</v>
      </c>
      <c r="D195" s="11">
        <f t="shared" si="90"/>
        <v>-2369000</v>
      </c>
      <c r="E195" s="11">
        <f t="shared" si="90"/>
        <v>1400000</v>
      </c>
      <c r="F195" s="11">
        <f t="shared" si="90"/>
        <v>0</v>
      </c>
      <c r="G195" s="11">
        <f t="shared" si="90"/>
        <v>1400000</v>
      </c>
      <c r="H195" s="11">
        <f t="shared" si="90"/>
        <v>0</v>
      </c>
      <c r="K195" s="24"/>
      <c r="L195" s="24"/>
      <c r="M195" s="24"/>
    </row>
    <row r="196" spans="1:13" ht="12.75">
      <c r="A196" s="69">
        <v>1</v>
      </c>
      <c r="B196" s="78" t="s">
        <v>76</v>
      </c>
      <c r="C196" s="74">
        <v>3769000</v>
      </c>
      <c r="D196" s="26">
        <v>-2369000</v>
      </c>
      <c r="E196" s="71">
        <f>C196+D196</f>
        <v>1400000</v>
      </c>
      <c r="F196" s="74"/>
      <c r="G196" s="72">
        <f>3769000-2369000</f>
        <v>1400000</v>
      </c>
      <c r="H196" s="80"/>
      <c r="K196" s="24"/>
      <c r="L196" s="24"/>
      <c r="M196" s="24"/>
    </row>
    <row r="197" spans="1:13" ht="25.5">
      <c r="A197" s="56" t="s">
        <v>137</v>
      </c>
      <c r="B197" s="12" t="s">
        <v>12</v>
      </c>
      <c r="C197" s="14">
        <f aca="true" t="shared" si="91" ref="C197:H197">C198+C201+C213</f>
        <v>1204000</v>
      </c>
      <c r="D197" s="14">
        <f t="shared" si="91"/>
        <v>0</v>
      </c>
      <c r="E197" s="14">
        <f t="shared" si="91"/>
        <v>1204000</v>
      </c>
      <c r="F197" s="14">
        <f t="shared" si="91"/>
        <v>0</v>
      </c>
      <c r="G197" s="14">
        <f t="shared" si="91"/>
        <v>1204000</v>
      </c>
      <c r="H197" s="14">
        <f t="shared" si="91"/>
        <v>0</v>
      </c>
      <c r="K197" s="24"/>
      <c r="L197" s="24"/>
      <c r="M197" s="24"/>
    </row>
    <row r="198" spans="1:13" s="48" customFormat="1" ht="12.75">
      <c r="A198" s="9" t="s">
        <v>62</v>
      </c>
      <c r="B198" s="20" t="s">
        <v>61</v>
      </c>
      <c r="C198" s="11">
        <f aca="true" t="shared" si="92" ref="C198:H198">SUM(C199:C200)</f>
        <v>400000</v>
      </c>
      <c r="D198" s="11">
        <f t="shared" si="92"/>
        <v>0</v>
      </c>
      <c r="E198" s="11">
        <f t="shared" si="92"/>
        <v>400000</v>
      </c>
      <c r="F198" s="11">
        <f t="shared" si="92"/>
        <v>0</v>
      </c>
      <c r="G198" s="11">
        <f t="shared" si="92"/>
        <v>400000</v>
      </c>
      <c r="H198" s="11">
        <f t="shared" si="92"/>
        <v>0</v>
      </c>
      <c r="K198" s="24"/>
      <c r="L198" s="24"/>
      <c r="M198" s="24"/>
    </row>
    <row r="199" spans="1:13" s="25" customFormat="1" ht="12.75">
      <c r="A199" s="69">
        <v>1</v>
      </c>
      <c r="B199" s="78" t="s">
        <v>172</v>
      </c>
      <c r="C199" s="76">
        <v>50000</v>
      </c>
      <c r="D199" s="76"/>
      <c r="E199" s="71">
        <f>C199+D199</f>
        <v>50000</v>
      </c>
      <c r="F199" s="72"/>
      <c r="G199" s="84">
        <v>50000</v>
      </c>
      <c r="H199" s="84"/>
      <c r="K199" s="24"/>
      <c r="L199" s="24"/>
      <c r="M199" s="24"/>
    </row>
    <row r="200" spans="1:13" s="25" customFormat="1" ht="25.5">
      <c r="A200" s="69">
        <v>2</v>
      </c>
      <c r="B200" s="78" t="s">
        <v>113</v>
      </c>
      <c r="C200" s="76">
        <v>350000</v>
      </c>
      <c r="D200" s="76"/>
      <c r="E200" s="71">
        <f>C200+D200</f>
        <v>350000</v>
      </c>
      <c r="F200" s="72"/>
      <c r="G200" s="84">
        <v>350000</v>
      </c>
      <c r="H200" s="84"/>
      <c r="K200" s="24"/>
      <c r="L200" s="24"/>
      <c r="M200" s="24"/>
    </row>
    <row r="201" spans="1:13" s="48" customFormat="1" ht="12.75">
      <c r="A201" s="9" t="s">
        <v>26</v>
      </c>
      <c r="B201" s="20" t="s">
        <v>25</v>
      </c>
      <c r="C201" s="11">
        <f aca="true" t="shared" si="93" ref="C201:H201">SUM(C202:C212)</f>
        <v>246000</v>
      </c>
      <c r="D201" s="11">
        <f t="shared" si="93"/>
        <v>96187</v>
      </c>
      <c r="E201" s="11">
        <f t="shared" si="93"/>
        <v>342187</v>
      </c>
      <c r="F201" s="11">
        <f t="shared" si="93"/>
        <v>0</v>
      </c>
      <c r="G201" s="11">
        <f t="shared" si="93"/>
        <v>342187</v>
      </c>
      <c r="H201" s="11">
        <f t="shared" si="93"/>
        <v>0</v>
      </c>
      <c r="K201" s="24"/>
      <c r="L201" s="24"/>
      <c r="M201" s="24"/>
    </row>
    <row r="202" spans="1:13" s="25" customFormat="1" ht="12.75">
      <c r="A202" s="69">
        <v>3</v>
      </c>
      <c r="B202" s="78" t="s">
        <v>173</v>
      </c>
      <c r="C202" s="76">
        <v>24000</v>
      </c>
      <c r="D202" s="27">
        <v>-2190</v>
      </c>
      <c r="E202" s="71">
        <f aca="true" t="shared" si="94" ref="E202:E212">C202+D202</f>
        <v>21810</v>
      </c>
      <c r="F202" s="72"/>
      <c r="G202" s="84">
        <f>24000-2190</f>
        <v>21810</v>
      </c>
      <c r="H202" s="84"/>
      <c r="K202" s="24"/>
      <c r="L202" s="24"/>
      <c r="M202" s="24"/>
    </row>
    <row r="203" spans="1:13" s="25" customFormat="1" ht="25.5">
      <c r="A203" s="69">
        <v>4</v>
      </c>
      <c r="B203" s="78" t="s">
        <v>114</v>
      </c>
      <c r="C203" s="76">
        <v>100000</v>
      </c>
      <c r="D203" s="27">
        <v>45000</v>
      </c>
      <c r="E203" s="71">
        <f t="shared" si="94"/>
        <v>145000</v>
      </c>
      <c r="F203" s="72"/>
      <c r="G203" s="84">
        <f>100000+45000</f>
        <v>145000</v>
      </c>
      <c r="H203" s="84"/>
      <c r="K203" s="24"/>
      <c r="L203" s="24"/>
      <c r="M203" s="24"/>
    </row>
    <row r="204" spans="1:13" s="25" customFormat="1" ht="12.75">
      <c r="A204" s="69">
        <v>5</v>
      </c>
      <c r="B204" s="78" t="s">
        <v>63</v>
      </c>
      <c r="C204" s="76">
        <v>20000</v>
      </c>
      <c r="D204" s="27"/>
      <c r="E204" s="71">
        <f t="shared" si="94"/>
        <v>20000</v>
      </c>
      <c r="F204" s="72"/>
      <c r="G204" s="84">
        <v>20000</v>
      </c>
      <c r="H204" s="84"/>
      <c r="K204" s="24"/>
      <c r="L204" s="24"/>
      <c r="M204" s="24"/>
    </row>
    <row r="205" spans="1:13" s="25" customFormat="1" ht="12.75">
      <c r="A205" s="69">
        <v>6</v>
      </c>
      <c r="B205" s="78" t="s">
        <v>168</v>
      </c>
      <c r="C205" s="76">
        <v>5000</v>
      </c>
      <c r="D205" s="27"/>
      <c r="E205" s="71">
        <f t="shared" si="94"/>
        <v>5000</v>
      </c>
      <c r="F205" s="72"/>
      <c r="G205" s="84">
        <v>5000</v>
      </c>
      <c r="H205" s="84"/>
      <c r="K205" s="24"/>
      <c r="L205" s="24"/>
      <c r="M205" s="24"/>
    </row>
    <row r="206" spans="1:13" s="25" customFormat="1" ht="25.5">
      <c r="A206" s="69">
        <v>7</v>
      </c>
      <c r="B206" s="78" t="s">
        <v>169</v>
      </c>
      <c r="C206" s="76">
        <v>5000</v>
      </c>
      <c r="D206" s="27"/>
      <c r="E206" s="71">
        <f t="shared" si="94"/>
        <v>5000</v>
      </c>
      <c r="F206" s="72"/>
      <c r="G206" s="84">
        <v>5000</v>
      </c>
      <c r="H206" s="84"/>
      <c r="K206" s="24"/>
      <c r="L206" s="24"/>
      <c r="M206" s="24"/>
    </row>
    <row r="207" spans="1:13" s="25" customFormat="1" ht="12.75">
      <c r="A207" s="69">
        <v>8</v>
      </c>
      <c r="B207" s="78" t="s">
        <v>64</v>
      </c>
      <c r="C207" s="76">
        <v>7000</v>
      </c>
      <c r="D207" s="27"/>
      <c r="E207" s="71">
        <f t="shared" si="94"/>
        <v>7000</v>
      </c>
      <c r="F207" s="72"/>
      <c r="G207" s="84">
        <v>7000</v>
      </c>
      <c r="H207" s="84"/>
      <c r="K207" s="24"/>
      <c r="L207" s="24"/>
      <c r="M207" s="24"/>
    </row>
    <row r="208" spans="1:13" s="25" customFormat="1" ht="12.75">
      <c r="A208" s="69">
        <v>9</v>
      </c>
      <c r="B208" s="78" t="s">
        <v>65</v>
      </c>
      <c r="C208" s="76">
        <v>20000</v>
      </c>
      <c r="D208" s="27">
        <v>11000</v>
      </c>
      <c r="E208" s="71">
        <f t="shared" si="94"/>
        <v>31000</v>
      </c>
      <c r="F208" s="72"/>
      <c r="G208" s="84">
        <f>20000+11000</f>
        <v>31000</v>
      </c>
      <c r="H208" s="84"/>
      <c r="K208" s="24"/>
      <c r="L208" s="24"/>
      <c r="M208" s="24"/>
    </row>
    <row r="209" spans="1:13" s="25" customFormat="1" ht="25.5">
      <c r="A209" s="69">
        <v>10</v>
      </c>
      <c r="B209" s="78" t="s">
        <v>66</v>
      </c>
      <c r="C209" s="76">
        <v>15000</v>
      </c>
      <c r="D209" s="27">
        <v>-15000</v>
      </c>
      <c r="E209" s="71">
        <f t="shared" si="94"/>
        <v>0</v>
      </c>
      <c r="F209" s="72"/>
      <c r="G209" s="84">
        <f>15000-15000</f>
        <v>0</v>
      </c>
      <c r="H209" s="84"/>
      <c r="K209" s="24"/>
      <c r="L209" s="24"/>
      <c r="M209" s="24"/>
    </row>
    <row r="210" spans="1:13" s="25" customFormat="1" ht="12.75">
      <c r="A210" s="69">
        <v>11</v>
      </c>
      <c r="B210" s="78" t="s">
        <v>115</v>
      </c>
      <c r="C210" s="76">
        <v>50000</v>
      </c>
      <c r="D210" s="27">
        <v>-45000</v>
      </c>
      <c r="E210" s="71">
        <f t="shared" si="94"/>
        <v>5000</v>
      </c>
      <c r="F210" s="72"/>
      <c r="G210" s="84">
        <f>50000-45000</f>
        <v>5000</v>
      </c>
      <c r="H210" s="84"/>
      <c r="K210" s="24"/>
      <c r="L210" s="24"/>
      <c r="M210" s="24"/>
    </row>
    <row r="211" spans="1:13" s="25" customFormat="1" ht="12.75">
      <c r="A211" s="69">
        <v>12</v>
      </c>
      <c r="B211" s="78" t="s">
        <v>219</v>
      </c>
      <c r="C211" s="76"/>
      <c r="D211" s="27">
        <v>30000</v>
      </c>
      <c r="E211" s="71">
        <f t="shared" si="94"/>
        <v>30000</v>
      </c>
      <c r="F211" s="72"/>
      <c r="G211" s="84">
        <v>30000</v>
      </c>
      <c r="H211" s="84"/>
      <c r="K211" s="24"/>
      <c r="L211" s="24"/>
      <c r="M211" s="24"/>
    </row>
    <row r="212" spans="1:13" s="25" customFormat="1" ht="12.75">
      <c r="A212" s="69">
        <v>13</v>
      </c>
      <c r="B212" s="78" t="s">
        <v>220</v>
      </c>
      <c r="C212" s="76"/>
      <c r="D212" s="27">
        <v>72377</v>
      </c>
      <c r="E212" s="71">
        <f t="shared" si="94"/>
        <v>72377</v>
      </c>
      <c r="F212" s="72"/>
      <c r="G212" s="84">
        <v>72377</v>
      </c>
      <c r="H212" s="84"/>
      <c r="K212" s="24"/>
      <c r="L212" s="24"/>
      <c r="M212" s="24"/>
    </row>
    <row r="213" spans="1:13" s="39" customFormat="1" ht="12.75">
      <c r="A213" s="9" t="s">
        <v>23</v>
      </c>
      <c r="B213" s="20" t="s">
        <v>22</v>
      </c>
      <c r="C213" s="30">
        <f aca="true" t="shared" si="95" ref="C213:H213">C214+C224</f>
        <v>558000</v>
      </c>
      <c r="D213" s="30">
        <f t="shared" si="95"/>
        <v>-96187</v>
      </c>
      <c r="E213" s="30">
        <f t="shared" si="95"/>
        <v>461813</v>
      </c>
      <c r="F213" s="30">
        <f t="shared" si="95"/>
        <v>0</v>
      </c>
      <c r="G213" s="30">
        <f t="shared" si="95"/>
        <v>461813</v>
      </c>
      <c r="H213" s="30">
        <f t="shared" si="95"/>
        <v>0</v>
      </c>
      <c r="K213" s="24"/>
      <c r="L213" s="24"/>
      <c r="M213" s="24"/>
    </row>
    <row r="214" spans="1:13" s="39" customFormat="1" ht="12.75">
      <c r="A214" s="9" t="s">
        <v>29</v>
      </c>
      <c r="B214" s="20" t="s">
        <v>28</v>
      </c>
      <c r="C214" s="30">
        <f aca="true" t="shared" si="96" ref="C214:H214">SUM(C215:C223)</f>
        <v>234000</v>
      </c>
      <c r="D214" s="30">
        <f t="shared" si="96"/>
        <v>-96187</v>
      </c>
      <c r="E214" s="30">
        <f t="shared" si="96"/>
        <v>137813</v>
      </c>
      <c r="F214" s="30">
        <f t="shared" si="96"/>
        <v>0</v>
      </c>
      <c r="G214" s="30">
        <f t="shared" si="96"/>
        <v>137813</v>
      </c>
      <c r="H214" s="30">
        <f t="shared" si="96"/>
        <v>0</v>
      </c>
      <c r="K214" s="24"/>
      <c r="L214" s="24"/>
      <c r="M214" s="24"/>
    </row>
    <row r="215" spans="1:13" s="25" customFormat="1" ht="12.75">
      <c r="A215" s="69">
        <v>14</v>
      </c>
      <c r="B215" s="78" t="s">
        <v>69</v>
      </c>
      <c r="C215" s="76">
        <v>100000</v>
      </c>
      <c r="D215" s="27"/>
      <c r="E215" s="71">
        <f aca="true" t="shared" si="97" ref="E215:E223">C215+D215</f>
        <v>100000</v>
      </c>
      <c r="F215" s="72"/>
      <c r="G215" s="84">
        <v>100000</v>
      </c>
      <c r="H215" s="84"/>
      <c r="K215" s="24"/>
      <c r="L215" s="24"/>
      <c r="M215" s="24"/>
    </row>
    <row r="216" spans="1:13" s="25" customFormat="1" ht="12.75">
      <c r="A216" s="69">
        <v>15</v>
      </c>
      <c r="B216" s="78" t="s">
        <v>13</v>
      </c>
      <c r="C216" s="76">
        <v>25000</v>
      </c>
      <c r="D216" s="27">
        <v>-25000</v>
      </c>
      <c r="E216" s="71">
        <f t="shared" si="97"/>
        <v>0</v>
      </c>
      <c r="F216" s="72"/>
      <c r="G216" s="84">
        <f>25000-25000</f>
        <v>0</v>
      </c>
      <c r="H216" s="84"/>
      <c r="K216" s="24"/>
      <c r="L216" s="24"/>
      <c r="M216" s="24"/>
    </row>
    <row r="217" spans="1:13" s="25" customFormat="1" ht="12.75">
      <c r="A217" s="69">
        <v>16</v>
      </c>
      <c r="B217" s="78" t="s">
        <v>221</v>
      </c>
      <c r="C217" s="76">
        <v>25000</v>
      </c>
      <c r="D217" s="27">
        <v>-20000</v>
      </c>
      <c r="E217" s="71">
        <f t="shared" si="97"/>
        <v>5000</v>
      </c>
      <c r="F217" s="72"/>
      <c r="G217" s="84">
        <f>25000-20000</f>
        <v>5000</v>
      </c>
      <c r="H217" s="84"/>
      <c r="K217" s="24"/>
      <c r="L217" s="24"/>
      <c r="M217" s="24"/>
    </row>
    <row r="218" spans="1:13" s="25" customFormat="1" ht="12.75">
      <c r="A218" s="69">
        <v>17</v>
      </c>
      <c r="B218" s="78" t="s">
        <v>67</v>
      </c>
      <c r="C218" s="76">
        <v>50000</v>
      </c>
      <c r="D218" s="27">
        <v>-40000</v>
      </c>
      <c r="E218" s="71">
        <f t="shared" si="97"/>
        <v>10000</v>
      </c>
      <c r="F218" s="72"/>
      <c r="G218" s="84">
        <f>50000-40000</f>
        <v>10000</v>
      </c>
      <c r="H218" s="84"/>
      <c r="K218" s="24"/>
      <c r="L218" s="24"/>
      <c r="M218" s="24"/>
    </row>
    <row r="219" spans="1:13" s="25" customFormat="1" ht="12.75">
      <c r="A219" s="69">
        <v>18</v>
      </c>
      <c r="B219" s="78" t="s">
        <v>68</v>
      </c>
      <c r="C219" s="76">
        <v>3602</v>
      </c>
      <c r="D219" s="27"/>
      <c r="E219" s="71">
        <f t="shared" si="97"/>
        <v>3602</v>
      </c>
      <c r="F219" s="72"/>
      <c r="G219" s="84">
        <f>4000-398</f>
        <v>3602</v>
      </c>
      <c r="H219" s="84"/>
      <c r="K219" s="24"/>
      <c r="L219" s="24"/>
      <c r="M219" s="24"/>
    </row>
    <row r="220" spans="1:13" s="25" customFormat="1" ht="25.5">
      <c r="A220" s="69">
        <v>19</v>
      </c>
      <c r="B220" s="78" t="s">
        <v>174</v>
      </c>
      <c r="C220" s="76">
        <v>9000</v>
      </c>
      <c r="D220" s="27"/>
      <c r="E220" s="71">
        <f t="shared" si="97"/>
        <v>9000</v>
      </c>
      <c r="F220" s="72"/>
      <c r="G220" s="84">
        <v>9000</v>
      </c>
      <c r="H220" s="84"/>
      <c r="K220" s="24"/>
      <c r="L220" s="24"/>
      <c r="M220" s="24"/>
    </row>
    <row r="221" spans="1:13" s="25" customFormat="1" ht="12.75">
      <c r="A221" s="69">
        <v>20</v>
      </c>
      <c r="B221" s="78" t="s">
        <v>70</v>
      </c>
      <c r="C221" s="76">
        <v>9350</v>
      </c>
      <c r="D221" s="27">
        <v>-187</v>
      </c>
      <c r="E221" s="71">
        <f t="shared" si="97"/>
        <v>9163</v>
      </c>
      <c r="F221" s="72"/>
      <c r="G221" s="84">
        <f>10000-650-187</f>
        <v>9163</v>
      </c>
      <c r="H221" s="84"/>
      <c r="K221" s="24"/>
      <c r="L221" s="24"/>
      <c r="M221" s="24"/>
    </row>
    <row r="222" spans="1:13" s="25" customFormat="1" ht="12.75">
      <c r="A222" s="69">
        <v>21</v>
      </c>
      <c r="B222" s="78" t="s">
        <v>71</v>
      </c>
      <c r="C222" s="76">
        <v>11000</v>
      </c>
      <c r="D222" s="27">
        <v>-11000</v>
      </c>
      <c r="E222" s="71">
        <f t="shared" si="97"/>
        <v>0</v>
      </c>
      <c r="F222" s="72"/>
      <c r="G222" s="84">
        <f>11000-11000</f>
        <v>0</v>
      </c>
      <c r="H222" s="84"/>
      <c r="K222" s="24"/>
      <c r="L222" s="24"/>
      <c r="M222" s="24"/>
    </row>
    <row r="223" spans="1:13" s="25" customFormat="1" ht="12.75">
      <c r="A223" s="69">
        <v>22</v>
      </c>
      <c r="B223" s="78" t="s">
        <v>200</v>
      </c>
      <c r="C223" s="76">
        <v>1048</v>
      </c>
      <c r="D223" s="27"/>
      <c r="E223" s="71">
        <f t="shared" si="97"/>
        <v>1048</v>
      </c>
      <c r="F223" s="72"/>
      <c r="G223" s="84">
        <v>1048</v>
      </c>
      <c r="H223" s="84"/>
      <c r="K223" s="24"/>
      <c r="L223" s="24"/>
      <c r="M223" s="24"/>
    </row>
    <row r="224" spans="1:13" s="38" customFormat="1" ht="25.5">
      <c r="A224" s="43" t="s">
        <v>24</v>
      </c>
      <c r="B224" s="28" t="s">
        <v>117</v>
      </c>
      <c r="C224" s="30">
        <f aca="true" t="shared" si="98" ref="C224:H224">SUM(C225:C230)</f>
        <v>324000</v>
      </c>
      <c r="D224" s="30">
        <f t="shared" si="98"/>
        <v>0</v>
      </c>
      <c r="E224" s="30">
        <f t="shared" si="98"/>
        <v>324000</v>
      </c>
      <c r="F224" s="30">
        <f t="shared" si="98"/>
        <v>0</v>
      </c>
      <c r="G224" s="30">
        <f t="shared" si="98"/>
        <v>324000</v>
      </c>
      <c r="H224" s="30">
        <f t="shared" si="98"/>
        <v>0</v>
      </c>
      <c r="K224" s="24"/>
      <c r="L224" s="24"/>
      <c r="M224" s="24"/>
    </row>
    <row r="225" spans="1:13" s="25" customFormat="1" ht="25.5">
      <c r="A225" s="69">
        <v>23</v>
      </c>
      <c r="B225" s="78" t="s">
        <v>72</v>
      </c>
      <c r="C225" s="76">
        <v>38000</v>
      </c>
      <c r="D225" s="76"/>
      <c r="E225" s="71">
        <f aca="true" t="shared" si="99" ref="E225:E230">C225+D225</f>
        <v>38000</v>
      </c>
      <c r="F225" s="76"/>
      <c r="G225" s="84">
        <v>38000</v>
      </c>
      <c r="H225" s="84"/>
      <c r="K225" s="24"/>
      <c r="L225" s="24"/>
      <c r="M225" s="24"/>
    </row>
    <row r="226" spans="1:13" s="25" customFormat="1" ht="25.5">
      <c r="A226" s="69">
        <v>24</v>
      </c>
      <c r="B226" s="78" t="s">
        <v>73</v>
      </c>
      <c r="C226" s="76">
        <v>37000</v>
      </c>
      <c r="D226" s="76"/>
      <c r="E226" s="71">
        <f t="shared" si="99"/>
        <v>37000</v>
      </c>
      <c r="F226" s="76"/>
      <c r="G226" s="84">
        <v>37000</v>
      </c>
      <c r="H226" s="84"/>
      <c r="K226" s="24"/>
      <c r="L226" s="24"/>
      <c r="M226" s="24"/>
    </row>
    <row r="227" spans="1:13" s="25" customFormat="1" ht="12.75">
      <c r="A227" s="69">
        <v>25</v>
      </c>
      <c r="B227" s="78" t="s">
        <v>121</v>
      </c>
      <c r="C227" s="76">
        <v>26000</v>
      </c>
      <c r="D227" s="76"/>
      <c r="E227" s="71">
        <f t="shared" si="99"/>
        <v>26000</v>
      </c>
      <c r="F227" s="76"/>
      <c r="G227" s="76">
        <v>26000</v>
      </c>
      <c r="H227" s="84"/>
      <c r="K227" s="24"/>
      <c r="L227" s="24"/>
      <c r="M227" s="24"/>
    </row>
    <row r="228" spans="1:13" s="25" customFormat="1" ht="12.75">
      <c r="A228" s="69">
        <v>26</v>
      </c>
      <c r="B228" s="78" t="s">
        <v>122</v>
      </c>
      <c r="C228" s="76">
        <v>68000</v>
      </c>
      <c r="D228" s="76"/>
      <c r="E228" s="71">
        <f t="shared" si="99"/>
        <v>68000</v>
      </c>
      <c r="F228" s="76"/>
      <c r="G228" s="84">
        <v>68000</v>
      </c>
      <c r="H228" s="84"/>
      <c r="K228" s="24"/>
      <c r="L228" s="24"/>
      <c r="M228" s="24"/>
    </row>
    <row r="229" spans="1:13" s="25" customFormat="1" ht="63.75">
      <c r="A229" s="69">
        <v>27</v>
      </c>
      <c r="B229" s="78" t="s">
        <v>103</v>
      </c>
      <c r="C229" s="76">
        <v>120000</v>
      </c>
      <c r="D229" s="76"/>
      <c r="E229" s="71">
        <f t="shared" si="99"/>
        <v>120000</v>
      </c>
      <c r="F229" s="76"/>
      <c r="G229" s="84">
        <v>120000</v>
      </c>
      <c r="H229" s="84"/>
      <c r="K229" s="24"/>
      <c r="L229" s="24"/>
      <c r="M229" s="24"/>
    </row>
    <row r="230" spans="1:13" s="25" customFormat="1" ht="12.75">
      <c r="A230" s="69">
        <v>28</v>
      </c>
      <c r="B230" s="78" t="s">
        <v>123</v>
      </c>
      <c r="C230" s="76">
        <v>35000</v>
      </c>
      <c r="D230" s="76"/>
      <c r="E230" s="71">
        <f t="shared" si="99"/>
        <v>35000</v>
      </c>
      <c r="F230" s="76"/>
      <c r="G230" s="84">
        <v>35000</v>
      </c>
      <c r="H230" s="84"/>
      <c r="K230" s="24"/>
      <c r="L230" s="24"/>
      <c r="M230" s="24"/>
    </row>
    <row r="231" spans="1:13" ht="12.75">
      <c r="A231" s="56" t="s">
        <v>222</v>
      </c>
      <c r="B231" s="12" t="s">
        <v>223</v>
      </c>
      <c r="C231" s="14">
        <f aca="true" t="shared" si="100" ref="C231:H231">C232+C234</f>
        <v>0</v>
      </c>
      <c r="D231" s="14">
        <f t="shared" si="100"/>
        <v>105000</v>
      </c>
      <c r="E231" s="14">
        <f t="shared" si="100"/>
        <v>105000</v>
      </c>
      <c r="F231" s="14">
        <f t="shared" si="100"/>
        <v>29000</v>
      </c>
      <c r="G231" s="14">
        <f t="shared" si="100"/>
        <v>76000</v>
      </c>
      <c r="H231" s="14">
        <f t="shared" si="100"/>
        <v>0</v>
      </c>
      <c r="K231" s="24"/>
      <c r="L231" s="24"/>
      <c r="M231" s="24"/>
    </row>
    <row r="232" spans="1:13" s="39" customFormat="1" ht="12.75">
      <c r="A232" s="9" t="s">
        <v>26</v>
      </c>
      <c r="B232" s="20" t="s">
        <v>25</v>
      </c>
      <c r="C232" s="30">
        <f aca="true" t="shared" si="101" ref="C232:H232">SUM(C233)</f>
        <v>0</v>
      </c>
      <c r="D232" s="30">
        <f t="shared" si="101"/>
        <v>100000</v>
      </c>
      <c r="E232" s="30">
        <f t="shared" si="101"/>
        <v>100000</v>
      </c>
      <c r="F232" s="30">
        <f t="shared" si="101"/>
        <v>29000</v>
      </c>
      <c r="G232" s="30">
        <f t="shared" si="101"/>
        <v>71000</v>
      </c>
      <c r="H232" s="30">
        <f t="shared" si="101"/>
        <v>0</v>
      </c>
      <c r="K232" s="40"/>
      <c r="L232" s="40"/>
      <c r="M232" s="40"/>
    </row>
    <row r="233" spans="1:13" s="25" customFormat="1" ht="12.75">
      <c r="A233" s="69">
        <v>1</v>
      </c>
      <c r="B233" s="78" t="s">
        <v>224</v>
      </c>
      <c r="C233" s="76"/>
      <c r="D233" s="27">
        <v>100000</v>
      </c>
      <c r="E233" s="71">
        <f>C233+D233</f>
        <v>100000</v>
      </c>
      <c r="F233" s="76">
        <v>29000</v>
      </c>
      <c r="G233" s="84">
        <v>71000</v>
      </c>
      <c r="H233" s="84"/>
      <c r="K233" s="24"/>
      <c r="L233" s="24"/>
      <c r="M233" s="24"/>
    </row>
    <row r="234" spans="1:13" s="39" customFormat="1" ht="12.75">
      <c r="A234" s="9" t="s">
        <v>23</v>
      </c>
      <c r="B234" s="20" t="s">
        <v>22</v>
      </c>
      <c r="C234" s="30">
        <f aca="true" t="shared" si="102" ref="C234:H235">SUM(C235)</f>
        <v>0</v>
      </c>
      <c r="D234" s="30">
        <f t="shared" si="102"/>
        <v>5000</v>
      </c>
      <c r="E234" s="30">
        <f t="shared" si="102"/>
        <v>5000</v>
      </c>
      <c r="F234" s="30">
        <f t="shared" si="102"/>
        <v>0</v>
      </c>
      <c r="G234" s="30">
        <f t="shared" si="102"/>
        <v>5000</v>
      </c>
      <c r="H234" s="30">
        <f t="shared" si="102"/>
        <v>0</v>
      </c>
      <c r="K234" s="40"/>
      <c r="L234" s="40"/>
      <c r="M234" s="40"/>
    </row>
    <row r="235" spans="1:13" s="39" customFormat="1" ht="25.5">
      <c r="A235" s="43" t="s">
        <v>24</v>
      </c>
      <c r="B235" s="28" t="s">
        <v>117</v>
      </c>
      <c r="C235" s="30">
        <f t="shared" si="102"/>
        <v>0</v>
      </c>
      <c r="D235" s="30">
        <f t="shared" si="102"/>
        <v>5000</v>
      </c>
      <c r="E235" s="30">
        <f t="shared" si="102"/>
        <v>5000</v>
      </c>
      <c r="F235" s="30">
        <f t="shared" si="102"/>
        <v>0</v>
      </c>
      <c r="G235" s="30">
        <f t="shared" si="102"/>
        <v>5000</v>
      </c>
      <c r="H235" s="30">
        <f t="shared" si="102"/>
        <v>0</v>
      </c>
      <c r="K235" s="40"/>
      <c r="L235" s="40"/>
      <c r="M235" s="40"/>
    </row>
    <row r="236" spans="1:13" s="25" customFormat="1" ht="12.75">
      <c r="A236" s="69">
        <v>2</v>
      </c>
      <c r="B236" s="78" t="s">
        <v>225</v>
      </c>
      <c r="C236" s="76"/>
      <c r="D236" s="27">
        <v>5000</v>
      </c>
      <c r="E236" s="71">
        <f>C236+D236</f>
        <v>5000</v>
      </c>
      <c r="F236" s="76"/>
      <c r="G236" s="84">
        <v>5000</v>
      </c>
      <c r="H236" s="84"/>
      <c r="K236" s="24"/>
      <c r="L236" s="24"/>
      <c r="M236" s="24"/>
    </row>
    <row r="237" spans="1:13" ht="25.5">
      <c r="A237" s="56" t="s">
        <v>138</v>
      </c>
      <c r="B237" s="12" t="s">
        <v>14</v>
      </c>
      <c r="C237" s="14">
        <f aca="true" t="shared" si="103" ref="C237:H237">C238+C242</f>
        <v>2800000</v>
      </c>
      <c r="D237" s="14">
        <f t="shared" si="103"/>
        <v>1269833</v>
      </c>
      <c r="E237" s="14">
        <f t="shared" si="103"/>
        <v>4069833</v>
      </c>
      <c r="F237" s="14">
        <f t="shared" si="103"/>
        <v>0</v>
      </c>
      <c r="G237" s="14">
        <f t="shared" si="103"/>
        <v>4069833</v>
      </c>
      <c r="H237" s="14">
        <f t="shared" si="103"/>
        <v>0</v>
      </c>
      <c r="K237" s="24"/>
      <c r="L237" s="24"/>
      <c r="M237" s="24"/>
    </row>
    <row r="238" spans="1:13" s="10" customFormat="1" ht="12.75">
      <c r="A238" s="9" t="s">
        <v>26</v>
      </c>
      <c r="B238" s="20" t="s">
        <v>25</v>
      </c>
      <c r="C238" s="21">
        <f aca="true" t="shared" si="104" ref="C238:H238">SUM(C239:C241)</f>
        <v>977717</v>
      </c>
      <c r="D238" s="21">
        <f t="shared" si="104"/>
        <v>1129064</v>
      </c>
      <c r="E238" s="21">
        <f t="shared" si="104"/>
        <v>2106781</v>
      </c>
      <c r="F238" s="21">
        <f t="shared" si="104"/>
        <v>0</v>
      </c>
      <c r="G238" s="21">
        <f t="shared" si="104"/>
        <v>2106781</v>
      </c>
      <c r="H238" s="21">
        <f t="shared" si="104"/>
        <v>0</v>
      </c>
      <c r="K238" s="24"/>
      <c r="L238" s="24"/>
      <c r="M238" s="24"/>
    </row>
    <row r="239" spans="1:13" ht="12.75">
      <c r="A239" s="69">
        <v>1</v>
      </c>
      <c r="B239" s="81" t="s">
        <v>100</v>
      </c>
      <c r="C239" s="74">
        <v>143000</v>
      </c>
      <c r="D239" s="74"/>
      <c r="E239" s="71">
        <f>C239+D239</f>
        <v>143000</v>
      </c>
      <c r="F239" s="72"/>
      <c r="G239" s="72">
        <v>143000</v>
      </c>
      <c r="H239" s="80"/>
      <c r="K239" s="24"/>
      <c r="L239" s="24"/>
      <c r="M239" s="24"/>
    </row>
    <row r="240" spans="1:13" ht="25.5">
      <c r="A240" s="69">
        <v>2</v>
      </c>
      <c r="B240" s="81" t="s">
        <v>209</v>
      </c>
      <c r="C240" s="74">
        <v>247937</v>
      </c>
      <c r="D240" s="74"/>
      <c r="E240" s="71">
        <f>C240+D240</f>
        <v>247937</v>
      </c>
      <c r="F240" s="72"/>
      <c r="G240" s="72">
        <v>247937</v>
      </c>
      <c r="H240" s="80"/>
      <c r="K240" s="24"/>
      <c r="L240" s="24"/>
      <c r="M240" s="24"/>
    </row>
    <row r="241" spans="1:13" ht="25.5">
      <c r="A241" s="69">
        <v>3</v>
      </c>
      <c r="B241" s="81" t="s">
        <v>202</v>
      </c>
      <c r="C241" s="74">
        <v>586780</v>
      </c>
      <c r="D241" s="74">
        <v>1129064</v>
      </c>
      <c r="E241" s="71">
        <f>C241+D241</f>
        <v>1715844</v>
      </c>
      <c r="F241" s="72"/>
      <c r="G241" s="72">
        <f>586780+1129064</f>
        <v>1715844</v>
      </c>
      <c r="H241" s="80"/>
      <c r="K241" s="24"/>
      <c r="L241" s="24"/>
      <c r="M241" s="24"/>
    </row>
    <row r="242" spans="1:13" s="10" customFormat="1" ht="12.75">
      <c r="A242" s="9" t="s">
        <v>23</v>
      </c>
      <c r="B242" s="20" t="s">
        <v>22</v>
      </c>
      <c r="C242" s="21">
        <f aca="true" t="shared" si="105" ref="C242:H242">C243+C257</f>
        <v>1822283</v>
      </c>
      <c r="D242" s="21">
        <f t="shared" si="105"/>
        <v>140769</v>
      </c>
      <c r="E242" s="21">
        <f t="shared" si="105"/>
        <v>1963052</v>
      </c>
      <c r="F242" s="21">
        <f t="shared" si="105"/>
        <v>0</v>
      </c>
      <c r="G242" s="21">
        <f t="shared" si="105"/>
        <v>1963052</v>
      </c>
      <c r="H242" s="21">
        <f t="shared" si="105"/>
        <v>0</v>
      </c>
      <c r="K242" s="24"/>
      <c r="L242" s="24"/>
      <c r="M242" s="24"/>
    </row>
    <row r="243" spans="1:13" s="10" customFormat="1" ht="12.75">
      <c r="A243" s="9" t="s">
        <v>29</v>
      </c>
      <c r="B243" s="20" t="s">
        <v>28</v>
      </c>
      <c r="C243" s="32">
        <f aca="true" t="shared" si="106" ref="C243:H243">SUM(C244:C256)</f>
        <v>1689708</v>
      </c>
      <c r="D243" s="32">
        <f t="shared" si="106"/>
        <v>138644</v>
      </c>
      <c r="E243" s="32">
        <f t="shared" si="106"/>
        <v>1828352</v>
      </c>
      <c r="F243" s="32">
        <f t="shared" si="106"/>
        <v>0</v>
      </c>
      <c r="G243" s="32">
        <f t="shared" si="106"/>
        <v>1828352</v>
      </c>
      <c r="H243" s="32">
        <f t="shared" si="106"/>
        <v>0</v>
      </c>
      <c r="K243" s="24"/>
      <c r="L243" s="24"/>
      <c r="M243" s="24"/>
    </row>
    <row r="244" spans="1:13" ht="12.75">
      <c r="A244" s="69">
        <v>4</v>
      </c>
      <c r="B244" s="81" t="s">
        <v>94</v>
      </c>
      <c r="C244" s="82">
        <v>223720</v>
      </c>
      <c r="D244" s="31">
        <v>9400</v>
      </c>
      <c r="E244" s="71">
        <f aca="true" t="shared" si="107" ref="E244:E256">C244+D244</f>
        <v>233120</v>
      </c>
      <c r="F244" s="72"/>
      <c r="G244" s="72">
        <f>250000-26280+9400</f>
        <v>233120</v>
      </c>
      <c r="H244" s="80"/>
      <c r="K244" s="24"/>
      <c r="L244" s="24"/>
      <c r="M244" s="24"/>
    </row>
    <row r="245" spans="1:13" ht="12.75">
      <c r="A245" s="69">
        <v>5</v>
      </c>
      <c r="B245" s="81" t="s">
        <v>97</v>
      </c>
      <c r="C245" s="82">
        <v>200000</v>
      </c>
      <c r="D245" s="31"/>
      <c r="E245" s="71">
        <f t="shared" si="107"/>
        <v>200000</v>
      </c>
      <c r="F245" s="72"/>
      <c r="G245" s="72">
        <v>200000</v>
      </c>
      <c r="H245" s="80"/>
      <c r="K245" s="24"/>
      <c r="L245" s="24"/>
      <c r="M245" s="24"/>
    </row>
    <row r="246" spans="1:13" ht="12.75">
      <c r="A246" s="69">
        <v>6</v>
      </c>
      <c r="B246" s="81" t="s">
        <v>95</v>
      </c>
      <c r="C246" s="82">
        <v>83690</v>
      </c>
      <c r="D246" s="31"/>
      <c r="E246" s="71">
        <f t="shared" si="107"/>
        <v>83690</v>
      </c>
      <c r="F246" s="72"/>
      <c r="G246" s="72">
        <f>150000-66310</f>
        <v>83690</v>
      </c>
      <c r="H246" s="80"/>
      <c r="K246" s="24"/>
      <c r="L246" s="24"/>
      <c r="M246" s="24"/>
    </row>
    <row r="247" spans="1:13" ht="25.5">
      <c r="A247" s="69">
        <v>7</v>
      </c>
      <c r="B247" s="81" t="s">
        <v>98</v>
      </c>
      <c r="C247" s="82">
        <v>528955</v>
      </c>
      <c r="D247" s="31">
        <v>21045</v>
      </c>
      <c r="E247" s="71">
        <f t="shared" si="107"/>
        <v>550000</v>
      </c>
      <c r="F247" s="72"/>
      <c r="G247" s="72">
        <f>550000-21045+21045</f>
        <v>550000</v>
      </c>
      <c r="H247" s="80"/>
      <c r="K247" s="24"/>
      <c r="L247" s="24"/>
      <c r="M247" s="24"/>
    </row>
    <row r="248" spans="1:13" ht="12.75">
      <c r="A248" s="69">
        <v>8</v>
      </c>
      <c r="B248" s="81" t="s">
        <v>170</v>
      </c>
      <c r="C248" s="74">
        <v>19933</v>
      </c>
      <c r="D248" s="26"/>
      <c r="E248" s="71">
        <f t="shared" si="107"/>
        <v>19933</v>
      </c>
      <c r="F248" s="72"/>
      <c r="G248" s="72">
        <f>20000-67</f>
        <v>19933</v>
      </c>
      <c r="H248" s="80"/>
      <c r="K248" s="24"/>
      <c r="L248" s="24"/>
      <c r="M248" s="24"/>
    </row>
    <row r="249" spans="1:13" ht="12.75">
      <c r="A249" s="69">
        <v>9</v>
      </c>
      <c r="B249" s="81" t="s">
        <v>99</v>
      </c>
      <c r="C249" s="74">
        <v>19992</v>
      </c>
      <c r="D249" s="26">
        <v>910</v>
      </c>
      <c r="E249" s="71">
        <f t="shared" si="107"/>
        <v>20902</v>
      </c>
      <c r="F249" s="72"/>
      <c r="G249" s="72">
        <f>21000-1008+910</f>
        <v>20902</v>
      </c>
      <c r="H249" s="80"/>
      <c r="K249" s="24"/>
      <c r="L249" s="24"/>
      <c r="M249" s="24"/>
    </row>
    <row r="250" spans="1:13" ht="12.75">
      <c r="A250" s="69">
        <v>10</v>
      </c>
      <c r="B250" s="81" t="s">
        <v>101</v>
      </c>
      <c r="C250" s="82">
        <v>225000</v>
      </c>
      <c r="D250" s="31"/>
      <c r="E250" s="71">
        <f t="shared" si="107"/>
        <v>225000</v>
      </c>
      <c r="F250" s="72"/>
      <c r="G250" s="72">
        <v>225000</v>
      </c>
      <c r="H250" s="80"/>
      <c r="K250" s="24"/>
      <c r="L250" s="24"/>
      <c r="M250" s="24"/>
    </row>
    <row r="251" spans="1:13" ht="25.5">
      <c r="A251" s="69">
        <v>11</v>
      </c>
      <c r="B251" s="81" t="s">
        <v>102</v>
      </c>
      <c r="C251" s="82">
        <v>4000</v>
      </c>
      <c r="D251" s="31"/>
      <c r="E251" s="71">
        <f t="shared" si="107"/>
        <v>4000</v>
      </c>
      <c r="F251" s="72"/>
      <c r="G251" s="72">
        <v>4000</v>
      </c>
      <c r="H251" s="80"/>
      <c r="K251" s="24"/>
      <c r="L251" s="24"/>
      <c r="M251" s="24"/>
    </row>
    <row r="252" spans="1:13" ht="12.75">
      <c r="A252" s="69">
        <v>12</v>
      </c>
      <c r="B252" s="81" t="s">
        <v>96</v>
      </c>
      <c r="C252" s="82">
        <v>67711</v>
      </c>
      <c r="D252" s="31">
        <v>289</v>
      </c>
      <c r="E252" s="71">
        <f t="shared" si="107"/>
        <v>68000</v>
      </c>
      <c r="F252" s="72"/>
      <c r="G252" s="72">
        <f>68000-289+289</f>
        <v>68000</v>
      </c>
      <c r="H252" s="80"/>
      <c r="K252" s="24"/>
      <c r="L252" s="24"/>
      <c r="M252" s="24"/>
    </row>
    <row r="253" spans="1:13" ht="12.75">
      <c r="A253" s="69">
        <v>13</v>
      </c>
      <c r="B253" s="81" t="s">
        <v>124</v>
      </c>
      <c r="C253" s="82">
        <v>32612</v>
      </c>
      <c r="D253" s="31"/>
      <c r="E253" s="71">
        <f t="shared" si="107"/>
        <v>32612</v>
      </c>
      <c r="F253" s="72"/>
      <c r="G253" s="72">
        <f>35000-2388</f>
        <v>32612</v>
      </c>
      <c r="H253" s="80"/>
      <c r="K253" s="24"/>
      <c r="L253" s="24"/>
      <c r="M253" s="24"/>
    </row>
    <row r="254" spans="1:13" ht="25.5">
      <c r="A254" s="69">
        <v>14</v>
      </c>
      <c r="B254" s="81" t="s">
        <v>203</v>
      </c>
      <c r="C254" s="82">
        <v>178560</v>
      </c>
      <c r="D254" s="31"/>
      <c r="E254" s="71">
        <f t="shared" si="107"/>
        <v>178560</v>
      </c>
      <c r="F254" s="72"/>
      <c r="G254" s="72">
        <v>178560</v>
      </c>
      <c r="H254" s="80"/>
      <c r="K254" s="24"/>
      <c r="L254" s="24"/>
      <c r="M254" s="24"/>
    </row>
    <row r="255" spans="1:13" ht="25.5">
      <c r="A255" s="69">
        <v>15</v>
      </c>
      <c r="B255" s="81" t="s">
        <v>211</v>
      </c>
      <c r="C255" s="82">
        <v>105535</v>
      </c>
      <c r="D255" s="31"/>
      <c r="E255" s="71">
        <f t="shared" si="107"/>
        <v>105535</v>
      </c>
      <c r="F255" s="72"/>
      <c r="G255" s="72">
        <v>105535</v>
      </c>
      <c r="H255" s="80"/>
      <c r="K255" s="24"/>
      <c r="L255" s="24"/>
      <c r="M255" s="24"/>
    </row>
    <row r="256" spans="1:13" ht="12.75">
      <c r="A256" s="69">
        <v>16</v>
      </c>
      <c r="B256" s="81" t="s">
        <v>214</v>
      </c>
      <c r="C256" s="82"/>
      <c r="D256" s="31">
        <v>107000</v>
      </c>
      <c r="E256" s="71">
        <f t="shared" si="107"/>
        <v>107000</v>
      </c>
      <c r="F256" s="72"/>
      <c r="G256" s="72">
        <v>107000</v>
      </c>
      <c r="H256" s="80"/>
      <c r="K256" s="24"/>
      <c r="L256" s="24"/>
      <c r="M256" s="24"/>
    </row>
    <row r="257" spans="1:13" s="10" customFormat="1" ht="25.5">
      <c r="A257" s="43" t="s">
        <v>24</v>
      </c>
      <c r="B257" s="28" t="s">
        <v>117</v>
      </c>
      <c r="C257" s="30">
        <f aca="true" t="shared" si="108" ref="C257:H257">SUM(C258:C264)</f>
        <v>132575</v>
      </c>
      <c r="D257" s="30">
        <f t="shared" si="108"/>
        <v>2125</v>
      </c>
      <c r="E257" s="30">
        <f t="shared" si="108"/>
        <v>134700</v>
      </c>
      <c r="F257" s="30">
        <f t="shared" si="108"/>
        <v>0</v>
      </c>
      <c r="G257" s="30">
        <f t="shared" si="108"/>
        <v>134700</v>
      </c>
      <c r="H257" s="30">
        <f t="shared" si="108"/>
        <v>0</v>
      </c>
      <c r="K257" s="24"/>
      <c r="L257" s="24"/>
      <c r="M257" s="24"/>
    </row>
    <row r="258" spans="1:13" ht="25.5">
      <c r="A258" s="69">
        <v>17</v>
      </c>
      <c r="B258" s="78" t="s">
        <v>190</v>
      </c>
      <c r="C258" s="76">
        <v>0</v>
      </c>
      <c r="D258" s="27"/>
      <c r="E258" s="71">
        <f aca="true" t="shared" si="109" ref="E258:E264">C258+D258</f>
        <v>0</v>
      </c>
      <c r="F258" s="72"/>
      <c r="G258" s="76">
        <f>1000000-1000000</f>
        <v>0</v>
      </c>
      <c r="H258" s="80"/>
      <c r="K258" s="24"/>
      <c r="L258" s="24"/>
      <c r="M258" s="24"/>
    </row>
    <row r="259" spans="1:13" ht="12.75">
      <c r="A259" s="69">
        <v>18</v>
      </c>
      <c r="B259" s="81" t="s">
        <v>104</v>
      </c>
      <c r="C259" s="82">
        <v>0</v>
      </c>
      <c r="D259" s="31"/>
      <c r="E259" s="71">
        <f t="shared" si="109"/>
        <v>0</v>
      </c>
      <c r="F259" s="72"/>
      <c r="G259" s="72">
        <f>74000-74000</f>
        <v>0</v>
      </c>
      <c r="H259" s="80"/>
      <c r="K259" s="24"/>
      <c r="L259" s="24"/>
      <c r="M259" s="24"/>
    </row>
    <row r="260" spans="1:13" ht="25.5">
      <c r="A260" s="69">
        <v>19</v>
      </c>
      <c r="B260" s="81" t="s">
        <v>110</v>
      </c>
      <c r="C260" s="82">
        <v>50575</v>
      </c>
      <c r="D260" s="31">
        <v>2125</v>
      </c>
      <c r="E260" s="71">
        <f t="shared" si="109"/>
        <v>52700</v>
      </c>
      <c r="F260" s="72"/>
      <c r="G260" s="72">
        <f>60000-9425+2125</f>
        <v>52700</v>
      </c>
      <c r="H260" s="80"/>
      <c r="K260" s="24"/>
      <c r="L260" s="24"/>
      <c r="M260" s="24"/>
    </row>
    <row r="261" spans="1:13" ht="12.75">
      <c r="A261" s="69">
        <v>20</v>
      </c>
      <c r="B261" s="81" t="s">
        <v>204</v>
      </c>
      <c r="C261" s="82">
        <v>25000</v>
      </c>
      <c r="D261" s="31"/>
      <c r="E261" s="71">
        <f t="shared" si="109"/>
        <v>25000</v>
      </c>
      <c r="F261" s="72"/>
      <c r="G261" s="72">
        <v>25000</v>
      </c>
      <c r="H261" s="80"/>
      <c r="K261" s="24"/>
      <c r="L261" s="24"/>
      <c r="M261" s="24"/>
    </row>
    <row r="262" spans="1:13" ht="12.75">
      <c r="A262" s="69">
        <v>21</v>
      </c>
      <c r="B262" s="81" t="s">
        <v>205</v>
      </c>
      <c r="C262" s="82">
        <v>24000</v>
      </c>
      <c r="D262" s="31"/>
      <c r="E262" s="71">
        <f t="shared" si="109"/>
        <v>24000</v>
      </c>
      <c r="F262" s="72"/>
      <c r="G262" s="72">
        <v>24000</v>
      </c>
      <c r="H262" s="80"/>
      <c r="K262" s="24"/>
      <c r="L262" s="24"/>
      <c r="M262" s="24"/>
    </row>
    <row r="263" spans="1:13" ht="12.75">
      <c r="A263" s="69">
        <v>22</v>
      </c>
      <c r="B263" s="81" t="s">
        <v>207</v>
      </c>
      <c r="C263" s="82">
        <v>25000</v>
      </c>
      <c r="D263" s="31"/>
      <c r="E263" s="71">
        <f t="shared" si="109"/>
        <v>25000</v>
      </c>
      <c r="F263" s="72"/>
      <c r="G263" s="72">
        <v>25000</v>
      </c>
      <c r="H263" s="80"/>
      <c r="K263" s="24"/>
      <c r="L263" s="24"/>
      <c r="M263" s="24"/>
    </row>
    <row r="264" spans="1:13" ht="25.5">
      <c r="A264" s="69">
        <v>23</v>
      </c>
      <c r="B264" s="81" t="s">
        <v>206</v>
      </c>
      <c r="C264" s="82">
        <v>8000</v>
      </c>
      <c r="D264" s="31"/>
      <c r="E264" s="71">
        <f t="shared" si="109"/>
        <v>8000</v>
      </c>
      <c r="F264" s="72"/>
      <c r="G264" s="72">
        <v>8000</v>
      </c>
      <c r="H264" s="80"/>
      <c r="K264" s="24"/>
      <c r="L264" s="24"/>
      <c r="M264" s="24"/>
    </row>
    <row r="265" spans="1:13" ht="12.75">
      <c r="A265" s="54" t="s">
        <v>21</v>
      </c>
      <c r="B265" s="49" t="s">
        <v>146</v>
      </c>
      <c r="C265" s="50"/>
      <c r="D265" s="50"/>
      <c r="E265" s="50"/>
      <c r="F265" s="50"/>
      <c r="G265" s="50"/>
      <c r="H265" s="51"/>
      <c r="K265" s="24"/>
      <c r="L265" s="24"/>
      <c r="M265" s="24"/>
    </row>
    <row r="266" spans="1:13" s="48" customFormat="1" ht="25.5">
      <c r="A266" s="61" t="s">
        <v>21</v>
      </c>
      <c r="B266" s="62" t="s">
        <v>141</v>
      </c>
      <c r="C266" s="63">
        <f aca="true" t="shared" si="110" ref="C266:H266">C267+C270+C274+C279+C283+C287</f>
        <v>46816000</v>
      </c>
      <c r="D266" s="63">
        <f t="shared" si="110"/>
        <v>0</v>
      </c>
      <c r="E266" s="63">
        <f t="shared" si="110"/>
        <v>46816000</v>
      </c>
      <c r="F266" s="63">
        <f t="shared" si="110"/>
        <v>33114000</v>
      </c>
      <c r="G266" s="63">
        <f t="shared" si="110"/>
        <v>12576000</v>
      </c>
      <c r="H266" s="63">
        <f t="shared" si="110"/>
        <v>1126000</v>
      </c>
      <c r="K266" s="24"/>
      <c r="L266" s="24"/>
      <c r="M266" s="24"/>
    </row>
    <row r="267" spans="1:13" s="10" customFormat="1" ht="12.75">
      <c r="A267" s="43" t="s">
        <v>162</v>
      </c>
      <c r="B267" s="28" t="s">
        <v>19</v>
      </c>
      <c r="C267" s="30">
        <f aca="true" t="shared" si="111" ref="C267:H267">SUM(C268:C269)</f>
        <v>497000</v>
      </c>
      <c r="D267" s="30">
        <f t="shared" si="111"/>
        <v>0</v>
      </c>
      <c r="E267" s="30">
        <f t="shared" si="111"/>
        <v>497000</v>
      </c>
      <c r="F267" s="30">
        <f t="shared" si="111"/>
        <v>0</v>
      </c>
      <c r="G267" s="30">
        <f t="shared" si="111"/>
        <v>497000</v>
      </c>
      <c r="H267" s="30">
        <f t="shared" si="111"/>
        <v>0</v>
      </c>
      <c r="K267" s="24"/>
      <c r="L267" s="24"/>
      <c r="M267" s="24"/>
    </row>
    <row r="268" spans="1:13" ht="25.5">
      <c r="A268" s="69">
        <v>66</v>
      </c>
      <c r="B268" s="81" t="s">
        <v>147</v>
      </c>
      <c r="C268" s="82">
        <v>133000</v>
      </c>
      <c r="D268" s="82"/>
      <c r="E268" s="71">
        <f>C268+D268</f>
        <v>133000</v>
      </c>
      <c r="F268" s="72"/>
      <c r="G268" s="72">
        <f>132000+1000</f>
        <v>133000</v>
      </c>
      <c r="H268" s="80"/>
      <c r="K268" s="24"/>
      <c r="L268" s="24"/>
      <c r="M268" s="24"/>
    </row>
    <row r="269" spans="1:13" ht="25.5">
      <c r="A269" s="69">
        <v>66</v>
      </c>
      <c r="B269" s="81" t="s">
        <v>148</v>
      </c>
      <c r="C269" s="82">
        <v>364000</v>
      </c>
      <c r="D269" s="82"/>
      <c r="E269" s="71">
        <f>C269+D269</f>
        <v>364000</v>
      </c>
      <c r="F269" s="72"/>
      <c r="G269" s="72">
        <f>363000+1000</f>
        <v>364000</v>
      </c>
      <c r="H269" s="80"/>
      <c r="K269" s="24"/>
      <c r="L269" s="24"/>
      <c r="M269" s="24"/>
    </row>
    <row r="270" spans="1:13" s="10" customFormat="1" ht="12.75">
      <c r="A270" s="9" t="s">
        <v>163</v>
      </c>
      <c r="B270" s="52" t="s">
        <v>19</v>
      </c>
      <c r="C270" s="32">
        <f aca="true" t="shared" si="112" ref="C270:H270">SUM(C271:C273)</f>
        <v>18637000</v>
      </c>
      <c r="D270" s="32">
        <f t="shared" si="112"/>
        <v>0</v>
      </c>
      <c r="E270" s="32">
        <f t="shared" si="112"/>
        <v>18637000</v>
      </c>
      <c r="F270" s="32">
        <f t="shared" si="112"/>
        <v>18447000</v>
      </c>
      <c r="G270" s="32">
        <f t="shared" si="112"/>
        <v>190000</v>
      </c>
      <c r="H270" s="32">
        <f t="shared" si="112"/>
        <v>0</v>
      </c>
      <c r="K270" s="24"/>
      <c r="L270" s="24"/>
      <c r="M270" s="24"/>
    </row>
    <row r="271" spans="1:13" ht="12.75">
      <c r="A271" s="69">
        <v>67</v>
      </c>
      <c r="B271" s="81" t="s">
        <v>149</v>
      </c>
      <c r="C271" s="82">
        <v>18270000</v>
      </c>
      <c r="D271" s="82"/>
      <c r="E271" s="71">
        <f>C271+D271</f>
        <v>18270000</v>
      </c>
      <c r="F271" s="72">
        <v>18270000</v>
      </c>
      <c r="G271" s="72"/>
      <c r="H271" s="80"/>
      <c r="K271" s="24"/>
      <c r="L271" s="24"/>
      <c r="M271" s="24"/>
    </row>
    <row r="272" spans="1:13" ht="12.75">
      <c r="A272" s="69">
        <v>67</v>
      </c>
      <c r="B272" s="81" t="s">
        <v>150</v>
      </c>
      <c r="C272" s="82">
        <v>152000</v>
      </c>
      <c r="D272" s="82"/>
      <c r="E272" s="71">
        <f>C272+D272</f>
        <v>152000</v>
      </c>
      <c r="F272" s="72">
        <v>127000</v>
      </c>
      <c r="G272" s="72">
        <f>60000-35000</f>
        <v>25000</v>
      </c>
      <c r="H272" s="80"/>
      <c r="K272" s="24"/>
      <c r="L272" s="24"/>
      <c r="M272" s="24"/>
    </row>
    <row r="273" spans="1:13" ht="12.75">
      <c r="A273" s="69">
        <v>67</v>
      </c>
      <c r="B273" s="81" t="s">
        <v>151</v>
      </c>
      <c r="C273" s="82">
        <v>215000</v>
      </c>
      <c r="D273" s="82"/>
      <c r="E273" s="71">
        <f>C273+D273</f>
        <v>215000</v>
      </c>
      <c r="F273" s="72">
        <v>50000</v>
      </c>
      <c r="G273" s="72">
        <f>214000-49000</f>
        <v>165000</v>
      </c>
      <c r="H273" s="80"/>
      <c r="K273" s="24"/>
      <c r="L273" s="24"/>
      <c r="M273" s="24"/>
    </row>
    <row r="274" spans="1:13" s="10" customFormat="1" ht="12.75">
      <c r="A274" s="9" t="s">
        <v>137</v>
      </c>
      <c r="B274" s="52" t="s">
        <v>19</v>
      </c>
      <c r="C274" s="32">
        <f aca="true" t="shared" si="113" ref="C274:H274">SUM(C275:C278)</f>
        <v>4533000</v>
      </c>
      <c r="D274" s="32">
        <f t="shared" si="113"/>
        <v>0</v>
      </c>
      <c r="E274" s="32">
        <f t="shared" si="113"/>
        <v>4533000</v>
      </c>
      <c r="F274" s="32">
        <f t="shared" si="113"/>
        <v>2575000</v>
      </c>
      <c r="G274" s="32">
        <f t="shared" si="113"/>
        <v>1182000</v>
      </c>
      <c r="H274" s="32">
        <f t="shared" si="113"/>
        <v>776000</v>
      </c>
      <c r="K274" s="24"/>
      <c r="L274" s="24"/>
      <c r="M274" s="24"/>
    </row>
    <row r="275" spans="1:13" ht="25.5">
      <c r="A275" s="69">
        <v>68</v>
      </c>
      <c r="B275" s="81" t="s">
        <v>152</v>
      </c>
      <c r="C275" s="82">
        <v>3064000</v>
      </c>
      <c r="D275" s="82"/>
      <c r="E275" s="71">
        <f>C275+D275</f>
        <v>3064000</v>
      </c>
      <c r="F275" s="72">
        <v>2575000</v>
      </c>
      <c r="G275" s="72">
        <f>542000-53000</f>
        <v>489000</v>
      </c>
      <c r="H275" s="76">
        <f>2720000-2720000</f>
        <v>0</v>
      </c>
      <c r="K275" s="24"/>
      <c r="L275" s="24"/>
      <c r="M275" s="24"/>
    </row>
    <row r="276" spans="1:13" ht="51">
      <c r="A276" s="69">
        <v>68</v>
      </c>
      <c r="B276" s="81" t="s">
        <v>153</v>
      </c>
      <c r="C276" s="82">
        <v>323000</v>
      </c>
      <c r="D276" s="82"/>
      <c r="E276" s="71">
        <f>C276+D276</f>
        <v>323000</v>
      </c>
      <c r="F276" s="72"/>
      <c r="G276" s="72">
        <v>323000</v>
      </c>
      <c r="H276" s="76"/>
      <c r="K276" s="24"/>
      <c r="L276" s="24"/>
      <c r="M276" s="24"/>
    </row>
    <row r="277" spans="1:13" ht="51">
      <c r="A277" s="69">
        <v>68</v>
      </c>
      <c r="B277" s="81" t="s">
        <v>154</v>
      </c>
      <c r="C277" s="82">
        <v>1092000</v>
      </c>
      <c r="D277" s="82"/>
      <c r="E277" s="71">
        <f>C277+D277</f>
        <v>1092000</v>
      </c>
      <c r="F277" s="72"/>
      <c r="G277" s="72">
        <f>315000+1000</f>
        <v>316000</v>
      </c>
      <c r="H277" s="76">
        <v>776000</v>
      </c>
      <c r="K277" s="24"/>
      <c r="L277" s="24"/>
      <c r="M277" s="24"/>
    </row>
    <row r="278" spans="1:13" ht="25.5">
      <c r="A278" s="69">
        <v>68</v>
      </c>
      <c r="B278" s="81" t="s">
        <v>161</v>
      </c>
      <c r="C278" s="82">
        <v>54000</v>
      </c>
      <c r="D278" s="82"/>
      <c r="E278" s="71">
        <f>C278+D278</f>
        <v>54000</v>
      </c>
      <c r="F278" s="72"/>
      <c r="G278" s="72">
        <f>53000+1000</f>
        <v>54000</v>
      </c>
      <c r="H278" s="80"/>
      <c r="K278" s="24"/>
      <c r="L278" s="24"/>
      <c r="M278" s="24"/>
    </row>
    <row r="279" spans="1:13" s="10" customFormat="1" ht="12.75">
      <c r="A279" s="9" t="s">
        <v>132</v>
      </c>
      <c r="B279" s="52" t="s">
        <v>19</v>
      </c>
      <c r="C279" s="32">
        <f aca="true" t="shared" si="114" ref="C279:H279">SUM(C280:C282)</f>
        <v>8457000</v>
      </c>
      <c r="D279" s="32">
        <f t="shared" si="114"/>
        <v>0</v>
      </c>
      <c r="E279" s="32">
        <f t="shared" si="114"/>
        <v>8457000</v>
      </c>
      <c r="F279" s="32">
        <f t="shared" si="114"/>
        <v>4457000</v>
      </c>
      <c r="G279" s="32">
        <f t="shared" si="114"/>
        <v>4000000</v>
      </c>
      <c r="H279" s="32">
        <f t="shared" si="114"/>
        <v>0</v>
      </c>
      <c r="K279" s="24"/>
      <c r="L279" s="24"/>
      <c r="M279" s="24"/>
    </row>
    <row r="280" spans="1:13" ht="25.5">
      <c r="A280" s="69">
        <v>74</v>
      </c>
      <c r="B280" s="81" t="s">
        <v>155</v>
      </c>
      <c r="C280" s="82">
        <v>8457000</v>
      </c>
      <c r="D280" s="82">
        <f>-2500000-833000</f>
        <v>-3333000</v>
      </c>
      <c r="E280" s="71">
        <f>C280+D280</f>
        <v>5124000</v>
      </c>
      <c r="F280" s="72">
        <v>4457000</v>
      </c>
      <c r="G280" s="72">
        <f>4000000-2500000-833000</f>
        <v>667000</v>
      </c>
      <c r="H280" s="80"/>
      <c r="K280" s="24"/>
      <c r="L280" s="24"/>
      <c r="M280" s="24"/>
    </row>
    <row r="281" spans="1:13" ht="25.5">
      <c r="A281" s="69">
        <v>74</v>
      </c>
      <c r="B281" s="81" t="s">
        <v>217</v>
      </c>
      <c r="C281" s="82"/>
      <c r="D281" s="82">
        <v>2500000</v>
      </c>
      <c r="E281" s="71">
        <f>C281+D281</f>
        <v>2500000</v>
      </c>
      <c r="F281" s="72"/>
      <c r="G281" s="72">
        <v>2500000</v>
      </c>
      <c r="H281" s="80"/>
      <c r="K281" s="24"/>
      <c r="L281" s="24"/>
      <c r="M281" s="24"/>
    </row>
    <row r="282" spans="1:13" ht="25.5">
      <c r="A282" s="69">
        <v>74</v>
      </c>
      <c r="B282" s="81" t="s">
        <v>218</v>
      </c>
      <c r="C282" s="82"/>
      <c r="D282" s="82">
        <v>833000</v>
      </c>
      <c r="E282" s="71">
        <f>C282+D282</f>
        <v>833000</v>
      </c>
      <c r="F282" s="72"/>
      <c r="G282" s="72">
        <v>833000</v>
      </c>
      <c r="H282" s="80"/>
      <c r="K282" s="24"/>
      <c r="L282" s="24"/>
      <c r="M282" s="24"/>
    </row>
    <row r="283" spans="1:13" s="10" customFormat="1" ht="12.75">
      <c r="A283" s="9" t="s">
        <v>164</v>
      </c>
      <c r="B283" s="52" t="s">
        <v>19</v>
      </c>
      <c r="C283" s="32">
        <f aca="true" t="shared" si="115" ref="C283:H283">SUM(C284:C286)</f>
        <v>1491000</v>
      </c>
      <c r="D283" s="32">
        <f t="shared" si="115"/>
        <v>0</v>
      </c>
      <c r="E283" s="32">
        <f t="shared" si="115"/>
        <v>1491000</v>
      </c>
      <c r="F283" s="32">
        <f t="shared" si="115"/>
        <v>537000</v>
      </c>
      <c r="G283" s="32">
        <f t="shared" si="115"/>
        <v>604000</v>
      </c>
      <c r="H283" s="32">
        <f t="shared" si="115"/>
        <v>350000</v>
      </c>
      <c r="K283" s="24"/>
      <c r="L283" s="24"/>
      <c r="M283" s="24"/>
    </row>
    <row r="284" spans="1:13" ht="12.75">
      <c r="A284" s="69">
        <v>80</v>
      </c>
      <c r="B284" s="81" t="s">
        <v>93</v>
      </c>
      <c r="C284" s="82">
        <v>635000</v>
      </c>
      <c r="D284" s="82"/>
      <c r="E284" s="71">
        <f>C284+D284</f>
        <v>635000</v>
      </c>
      <c r="F284" s="72"/>
      <c r="G284" s="72">
        <v>285000</v>
      </c>
      <c r="H284" s="76">
        <v>350000</v>
      </c>
      <c r="K284" s="24"/>
      <c r="L284" s="24"/>
      <c r="M284" s="24"/>
    </row>
    <row r="285" spans="1:13" ht="38.25">
      <c r="A285" s="69">
        <v>80</v>
      </c>
      <c r="B285" s="81" t="s">
        <v>156</v>
      </c>
      <c r="C285" s="82">
        <v>50000</v>
      </c>
      <c r="D285" s="82"/>
      <c r="E285" s="71">
        <f>C285+D285</f>
        <v>50000</v>
      </c>
      <c r="F285" s="72">
        <v>50000</v>
      </c>
      <c r="G285" s="72"/>
      <c r="H285" s="80"/>
      <c r="K285" s="24"/>
      <c r="L285" s="24"/>
      <c r="M285" s="24"/>
    </row>
    <row r="286" spans="1:13" ht="25.5">
      <c r="A286" s="69">
        <v>80</v>
      </c>
      <c r="B286" s="81" t="s">
        <v>157</v>
      </c>
      <c r="C286" s="82">
        <v>806000</v>
      </c>
      <c r="D286" s="82"/>
      <c r="E286" s="71">
        <f>C286+D286</f>
        <v>806000</v>
      </c>
      <c r="F286" s="72">
        <v>487000</v>
      </c>
      <c r="G286" s="72">
        <v>319000</v>
      </c>
      <c r="H286" s="80"/>
      <c r="K286" s="24"/>
      <c r="L286" s="24"/>
      <c r="M286" s="24"/>
    </row>
    <row r="287" spans="1:13" s="10" customFormat="1" ht="12.75">
      <c r="A287" s="9" t="s">
        <v>138</v>
      </c>
      <c r="B287" s="52" t="s">
        <v>19</v>
      </c>
      <c r="C287" s="32">
        <f aca="true" t="shared" si="116" ref="C287:H287">SUM(C288:C290)</f>
        <v>13201000</v>
      </c>
      <c r="D287" s="32">
        <f t="shared" si="116"/>
        <v>0</v>
      </c>
      <c r="E287" s="32">
        <f t="shared" si="116"/>
        <v>13201000</v>
      </c>
      <c r="F287" s="32">
        <f t="shared" si="116"/>
        <v>7098000</v>
      </c>
      <c r="G287" s="32">
        <f t="shared" si="116"/>
        <v>6103000</v>
      </c>
      <c r="H287" s="32">
        <f t="shared" si="116"/>
        <v>0</v>
      </c>
      <c r="K287" s="24"/>
      <c r="L287" s="24"/>
      <c r="M287" s="24"/>
    </row>
    <row r="288" spans="1:13" ht="12.75">
      <c r="A288" s="69">
        <v>84</v>
      </c>
      <c r="B288" s="81" t="s">
        <v>158</v>
      </c>
      <c r="C288" s="82">
        <v>11420000</v>
      </c>
      <c r="D288" s="82"/>
      <c r="E288" s="71">
        <f>C288+D288</f>
        <v>11420000</v>
      </c>
      <c r="F288" s="72">
        <v>7098000</v>
      </c>
      <c r="G288" s="72">
        <f>4508000-186000</f>
        <v>4322000</v>
      </c>
      <c r="H288" s="80"/>
      <c r="K288" s="24"/>
      <c r="L288" s="24"/>
      <c r="M288" s="24"/>
    </row>
    <row r="289" spans="1:13" ht="25.5">
      <c r="A289" s="69">
        <v>84</v>
      </c>
      <c r="B289" s="81" t="s">
        <v>159</v>
      </c>
      <c r="C289" s="82">
        <v>1039000</v>
      </c>
      <c r="D289" s="82"/>
      <c r="E289" s="71">
        <f>C289+D289</f>
        <v>1039000</v>
      </c>
      <c r="F289" s="72"/>
      <c r="G289" s="72">
        <v>1039000</v>
      </c>
      <c r="H289" s="80"/>
      <c r="K289" s="24"/>
      <c r="L289" s="24"/>
      <c r="M289" s="24"/>
    </row>
    <row r="290" spans="1:13" ht="12.75">
      <c r="A290" s="69">
        <v>84</v>
      </c>
      <c r="B290" s="81" t="s">
        <v>160</v>
      </c>
      <c r="C290" s="82">
        <v>742000</v>
      </c>
      <c r="D290" s="82"/>
      <c r="E290" s="71">
        <f>C290+D290</f>
        <v>742000</v>
      </c>
      <c r="F290" s="72"/>
      <c r="G290" s="72">
        <v>742000</v>
      </c>
      <c r="H290" s="80"/>
      <c r="K290" s="24"/>
      <c r="L290" s="24"/>
      <c r="M290" s="24"/>
    </row>
    <row r="291" spans="3:5" ht="12.75">
      <c r="C291" s="64"/>
      <c r="D291" s="64"/>
      <c r="E291" s="64"/>
    </row>
    <row r="292" spans="3:5" ht="12.75">
      <c r="C292" s="64"/>
      <c r="D292" s="64"/>
      <c r="E292" s="64"/>
    </row>
    <row r="293" spans="3:5" ht="12.75">
      <c r="C293" s="64"/>
      <c r="D293" s="64"/>
      <c r="E293" s="64"/>
    </row>
    <row r="294" spans="1:8" s="66" customFormat="1" ht="12.75">
      <c r="A294" s="64"/>
      <c r="B294" s="65"/>
      <c r="C294" s="64"/>
      <c r="D294" s="64"/>
      <c r="E294" s="64"/>
      <c r="G294" s="67"/>
      <c r="H294" s="67"/>
    </row>
    <row r="295" spans="1:8" s="66" customFormat="1" ht="12.75">
      <c r="A295" s="64"/>
      <c r="B295" s="65"/>
      <c r="C295" s="64"/>
      <c r="D295" s="64"/>
      <c r="E295" s="64"/>
      <c r="G295" s="67"/>
      <c r="H295" s="67"/>
    </row>
    <row r="296" spans="1:8" s="66" customFormat="1" ht="12.75">
      <c r="A296" s="64"/>
      <c r="B296" s="65"/>
      <c r="C296" s="64"/>
      <c r="D296" s="64"/>
      <c r="E296" s="64"/>
      <c r="G296" s="67"/>
      <c r="H296" s="67"/>
    </row>
    <row r="297" spans="1:8" s="66" customFormat="1" ht="12.75">
      <c r="A297" s="64"/>
      <c r="B297" s="65"/>
      <c r="C297" s="64"/>
      <c r="D297" s="64"/>
      <c r="E297" s="64"/>
      <c r="G297" s="67"/>
      <c r="H297" s="67"/>
    </row>
    <row r="298" spans="1:8" s="66" customFormat="1" ht="12.75">
      <c r="A298" s="64"/>
      <c r="B298" s="65"/>
      <c r="C298" s="64"/>
      <c r="D298" s="64"/>
      <c r="E298" s="64"/>
      <c r="G298" s="67"/>
      <c r="H298" s="67"/>
    </row>
    <row r="299" spans="1:8" s="66" customFormat="1" ht="12.75">
      <c r="A299" s="64"/>
      <c r="B299" s="65"/>
      <c r="C299" s="64"/>
      <c r="D299" s="64"/>
      <c r="E299" s="64"/>
      <c r="G299" s="67"/>
      <c r="H299" s="67"/>
    </row>
    <row r="300" spans="1:8" s="66" customFormat="1" ht="12.75">
      <c r="A300" s="64"/>
      <c r="B300" s="65"/>
      <c r="C300" s="64"/>
      <c r="D300" s="64"/>
      <c r="E300" s="64"/>
      <c r="G300" s="67"/>
      <c r="H300" s="67"/>
    </row>
    <row r="301" spans="1:8" s="66" customFormat="1" ht="12.75">
      <c r="A301" s="64"/>
      <c r="B301" s="65"/>
      <c r="C301" s="64"/>
      <c r="D301" s="64"/>
      <c r="E301" s="64"/>
      <c r="G301" s="67"/>
      <c r="H301" s="67"/>
    </row>
    <row r="302" spans="1:8" s="66" customFormat="1" ht="12.75">
      <c r="A302" s="64"/>
      <c r="B302" s="65"/>
      <c r="C302" s="64"/>
      <c r="D302" s="64"/>
      <c r="E302" s="64"/>
      <c r="G302" s="67"/>
      <c r="H302" s="67"/>
    </row>
    <row r="303" spans="1:8" s="66" customFormat="1" ht="12.75">
      <c r="A303" s="64"/>
      <c r="B303" s="65"/>
      <c r="C303" s="64"/>
      <c r="D303" s="64"/>
      <c r="E303" s="64"/>
      <c r="G303" s="67"/>
      <c r="H303" s="67"/>
    </row>
    <row r="304" spans="1:8" s="66" customFormat="1" ht="12.75">
      <c r="A304" s="64"/>
      <c r="B304" s="65"/>
      <c r="C304" s="64"/>
      <c r="D304" s="64"/>
      <c r="E304" s="64"/>
      <c r="G304" s="67"/>
      <c r="H304" s="67"/>
    </row>
    <row r="305" spans="1:8" s="66" customFormat="1" ht="12.75">
      <c r="A305" s="64"/>
      <c r="B305" s="65"/>
      <c r="C305" s="64"/>
      <c r="D305" s="64"/>
      <c r="E305" s="64"/>
      <c r="G305" s="67"/>
      <c r="H305" s="67"/>
    </row>
    <row r="306" spans="1:8" s="66" customFormat="1" ht="12.75">
      <c r="A306" s="64"/>
      <c r="B306" s="65"/>
      <c r="C306" s="64"/>
      <c r="D306" s="64"/>
      <c r="E306" s="64"/>
      <c r="G306" s="67"/>
      <c r="H306" s="67"/>
    </row>
    <row r="307" spans="1:8" s="66" customFormat="1" ht="12.75">
      <c r="A307" s="64"/>
      <c r="B307" s="65"/>
      <c r="C307" s="64"/>
      <c r="D307" s="64"/>
      <c r="E307" s="64"/>
      <c r="G307" s="67"/>
      <c r="H307" s="67"/>
    </row>
    <row r="308" spans="1:8" s="66" customFormat="1" ht="12.75">
      <c r="A308" s="64"/>
      <c r="B308" s="65"/>
      <c r="C308" s="64"/>
      <c r="D308" s="64"/>
      <c r="E308" s="64"/>
      <c r="G308" s="67"/>
      <c r="H308" s="67"/>
    </row>
    <row r="309" spans="1:8" s="66" customFormat="1" ht="12.75">
      <c r="A309" s="64"/>
      <c r="B309" s="65"/>
      <c r="C309" s="64"/>
      <c r="D309" s="64"/>
      <c r="E309" s="64"/>
      <c r="G309" s="67"/>
      <c r="H309" s="67"/>
    </row>
    <row r="310" spans="1:8" s="66" customFormat="1" ht="12.75">
      <c r="A310" s="64"/>
      <c r="B310" s="65"/>
      <c r="C310" s="64"/>
      <c r="D310" s="64"/>
      <c r="E310" s="64"/>
      <c r="G310" s="67"/>
      <c r="H310" s="67"/>
    </row>
    <row r="311" spans="1:8" s="66" customFormat="1" ht="12.75">
      <c r="A311" s="64"/>
      <c r="B311" s="65"/>
      <c r="C311" s="64"/>
      <c r="D311" s="64"/>
      <c r="E311" s="64"/>
      <c r="G311" s="67"/>
      <c r="H311" s="67"/>
    </row>
    <row r="312" spans="1:8" s="66" customFormat="1" ht="12.75">
      <c r="A312" s="64"/>
      <c r="B312" s="65"/>
      <c r="C312" s="64"/>
      <c r="D312" s="64"/>
      <c r="E312" s="64"/>
      <c r="G312" s="67"/>
      <c r="H312" s="67"/>
    </row>
    <row r="313" spans="1:8" s="66" customFormat="1" ht="12.75">
      <c r="A313" s="64"/>
      <c r="B313" s="65"/>
      <c r="C313" s="64"/>
      <c r="D313" s="64"/>
      <c r="E313" s="64"/>
      <c r="G313" s="67"/>
      <c r="H313" s="67"/>
    </row>
    <row r="314" spans="1:8" s="66" customFormat="1" ht="12.75">
      <c r="A314" s="64"/>
      <c r="B314" s="65"/>
      <c r="C314" s="64"/>
      <c r="D314" s="64"/>
      <c r="E314" s="64"/>
      <c r="G314" s="67"/>
      <c r="H314" s="67"/>
    </row>
    <row r="315" spans="1:8" s="66" customFormat="1" ht="12.75">
      <c r="A315" s="64"/>
      <c r="B315" s="65"/>
      <c r="C315" s="64"/>
      <c r="D315" s="64"/>
      <c r="E315" s="64"/>
      <c r="G315" s="67"/>
      <c r="H315" s="67"/>
    </row>
    <row r="316" spans="1:8" s="66" customFormat="1" ht="12.75">
      <c r="A316" s="64"/>
      <c r="B316" s="65"/>
      <c r="C316" s="64"/>
      <c r="D316" s="64"/>
      <c r="E316" s="64"/>
      <c r="G316" s="67"/>
      <c r="H316" s="67"/>
    </row>
    <row r="317" spans="1:8" s="66" customFormat="1" ht="12.75">
      <c r="A317" s="64"/>
      <c r="B317" s="65"/>
      <c r="C317" s="64"/>
      <c r="D317" s="64"/>
      <c r="E317" s="64"/>
      <c r="G317" s="67"/>
      <c r="H317" s="67"/>
    </row>
    <row r="318" spans="1:8" s="66" customFormat="1" ht="12.75">
      <c r="A318" s="64"/>
      <c r="B318" s="65"/>
      <c r="C318" s="64"/>
      <c r="D318" s="64"/>
      <c r="E318" s="64"/>
      <c r="G318" s="67"/>
      <c r="H318" s="67"/>
    </row>
    <row r="319" spans="1:8" s="66" customFormat="1" ht="12.75">
      <c r="A319" s="64"/>
      <c r="B319" s="65"/>
      <c r="C319" s="64"/>
      <c r="D319" s="64"/>
      <c r="E319" s="64"/>
      <c r="G319" s="67"/>
      <c r="H319" s="67"/>
    </row>
    <row r="320" spans="1:8" s="66" customFormat="1" ht="12.75">
      <c r="A320" s="64"/>
      <c r="B320" s="65"/>
      <c r="C320" s="64"/>
      <c r="D320" s="64"/>
      <c r="E320" s="64"/>
      <c r="G320" s="67"/>
      <c r="H320" s="67"/>
    </row>
    <row r="321" spans="1:8" s="66" customFormat="1" ht="12.75">
      <c r="A321" s="64"/>
      <c r="B321" s="65"/>
      <c r="C321" s="64"/>
      <c r="D321" s="64"/>
      <c r="E321" s="64"/>
      <c r="G321" s="67"/>
      <c r="H321" s="67"/>
    </row>
    <row r="322" spans="1:8" s="66" customFormat="1" ht="12.75">
      <c r="A322" s="64"/>
      <c r="B322" s="65"/>
      <c r="C322" s="64"/>
      <c r="D322" s="64"/>
      <c r="E322" s="64"/>
      <c r="G322" s="67"/>
      <c r="H322" s="67"/>
    </row>
    <row r="323" spans="1:8" s="66" customFormat="1" ht="12.75">
      <c r="A323" s="64"/>
      <c r="B323" s="65"/>
      <c r="C323" s="64"/>
      <c r="D323" s="64"/>
      <c r="E323" s="64"/>
      <c r="G323" s="67"/>
      <c r="H323" s="67"/>
    </row>
    <row r="324" spans="1:8" s="66" customFormat="1" ht="12.75">
      <c r="A324" s="64"/>
      <c r="B324" s="65"/>
      <c r="C324" s="64"/>
      <c r="D324" s="64"/>
      <c r="E324" s="64"/>
      <c r="G324" s="67"/>
      <c r="H324" s="67"/>
    </row>
    <row r="325" spans="1:8" s="66" customFormat="1" ht="12.75">
      <c r="A325" s="64"/>
      <c r="B325" s="65"/>
      <c r="C325" s="64"/>
      <c r="D325" s="64"/>
      <c r="E325" s="64"/>
      <c r="G325" s="67"/>
      <c r="H325" s="67"/>
    </row>
    <row r="326" spans="1:8" s="66" customFormat="1" ht="12.75">
      <c r="A326" s="64"/>
      <c r="B326" s="65"/>
      <c r="C326" s="64"/>
      <c r="D326" s="64"/>
      <c r="E326" s="64"/>
      <c r="G326" s="67"/>
      <c r="H326" s="67"/>
    </row>
    <row r="327" spans="1:8" s="66" customFormat="1" ht="12.75">
      <c r="A327" s="64"/>
      <c r="B327" s="65"/>
      <c r="C327" s="64"/>
      <c r="D327" s="64"/>
      <c r="E327" s="64"/>
      <c r="G327" s="67"/>
      <c r="H327" s="67"/>
    </row>
    <row r="328" spans="1:8" s="66" customFormat="1" ht="12.75">
      <c r="A328" s="64"/>
      <c r="B328" s="65"/>
      <c r="C328" s="64"/>
      <c r="D328" s="64"/>
      <c r="E328" s="64"/>
      <c r="G328" s="67"/>
      <c r="H328" s="67"/>
    </row>
    <row r="329" spans="1:8" s="66" customFormat="1" ht="12.75">
      <c r="A329" s="64"/>
      <c r="B329" s="65"/>
      <c r="C329" s="64"/>
      <c r="D329" s="64"/>
      <c r="E329" s="64"/>
      <c r="G329" s="67"/>
      <c r="H329" s="67"/>
    </row>
    <row r="330" spans="1:8" s="66" customFormat="1" ht="12.75">
      <c r="A330" s="64"/>
      <c r="B330" s="65"/>
      <c r="C330" s="64"/>
      <c r="D330" s="64"/>
      <c r="E330" s="64"/>
      <c r="G330" s="67"/>
      <c r="H330" s="67"/>
    </row>
    <row r="331" spans="1:8" s="66" customFormat="1" ht="12.75">
      <c r="A331" s="64"/>
      <c r="B331" s="65"/>
      <c r="C331" s="64"/>
      <c r="D331" s="64"/>
      <c r="E331" s="64"/>
      <c r="G331" s="67"/>
      <c r="H331" s="67"/>
    </row>
    <row r="332" spans="1:8" s="66" customFormat="1" ht="12.75">
      <c r="A332" s="64"/>
      <c r="B332" s="65"/>
      <c r="C332" s="64"/>
      <c r="D332" s="64"/>
      <c r="E332" s="64"/>
      <c r="G332" s="67"/>
      <c r="H332" s="67"/>
    </row>
    <row r="333" spans="1:8" s="66" customFormat="1" ht="12.75">
      <c r="A333" s="64"/>
      <c r="B333" s="65"/>
      <c r="C333" s="64"/>
      <c r="D333" s="64"/>
      <c r="E333" s="64"/>
      <c r="G333" s="67"/>
      <c r="H333" s="67"/>
    </row>
    <row r="334" spans="1:8" s="66" customFormat="1" ht="12.75">
      <c r="A334" s="64"/>
      <c r="B334" s="65"/>
      <c r="C334" s="64"/>
      <c r="D334" s="64"/>
      <c r="E334" s="64"/>
      <c r="G334" s="67"/>
      <c r="H334" s="67"/>
    </row>
    <row r="335" spans="1:8" s="66" customFormat="1" ht="12.75">
      <c r="A335" s="64"/>
      <c r="B335" s="65"/>
      <c r="C335" s="64"/>
      <c r="D335" s="64"/>
      <c r="E335" s="64"/>
      <c r="G335" s="67"/>
      <c r="H335" s="67"/>
    </row>
    <row r="336" spans="1:8" s="66" customFormat="1" ht="12.75">
      <c r="A336" s="64"/>
      <c r="B336" s="65"/>
      <c r="C336" s="64"/>
      <c r="D336" s="64"/>
      <c r="E336" s="64"/>
      <c r="G336" s="67"/>
      <c r="H336" s="67"/>
    </row>
    <row r="337" spans="1:8" s="66" customFormat="1" ht="12.75">
      <c r="A337" s="64"/>
      <c r="B337" s="65"/>
      <c r="C337" s="64"/>
      <c r="D337" s="64"/>
      <c r="E337" s="64"/>
      <c r="G337" s="67"/>
      <c r="H337" s="67"/>
    </row>
    <row r="338" spans="1:8" s="66" customFormat="1" ht="12.75">
      <c r="A338" s="64"/>
      <c r="B338" s="65"/>
      <c r="C338" s="64"/>
      <c r="D338" s="64"/>
      <c r="E338" s="64"/>
      <c r="G338" s="67"/>
      <c r="H338" s="67"/>
    </row>
    <row r="339" spans="1:8" s="66" customFormat="1" ht="12.75">
      <c r="A339" s="64"/>
      <c r="B339" s="65"/>
      <c r="C339" s="64"/>
      <c r="D339" s="64"/>
      <c r="E339" s="64"/>
      <c r="G339" s="67"/>
      <c r="H339" s="67"/>
    </row>
    <row r="340" spans="1:8" s="66" customFormat="1" ht="12.75">
      <c r="A340" s="64"/>
      <c r="B340" s="65"/>
      <c r="C340" s="64"/>
      <c r="D340" s="64"/>
      <c r="E340" s="64"/>
      <c r="G340" s="67"/>
      <c r="H340" s="67"/>
    </row>
    <row r="341" spans="1:8" s="66" customFormat="1" ht="12.75">
      <c r="A341" s="64"/>
      <c r="B341" s="65"/>
      <c r="C341" s="64"/>
      <c r="D341" s="64"/>
      <c r="E341" s="64"/>
      <c r="G341" s="67"/>
      <c r="H341" s="67"/>
    </row>
    <row r="342" spans="1:8" s="66" customFormat="1" ht="12.75">
      <c r="A342" s="64"/>
      <c r="B342" s="65"/>
      <c r="C342" s="64"/>
      <c r="D342" s="64"/>
      <c r="E342" s="64"/>
      <c r="G342" s="67"/>
      <c r="H342" s="67"/>
    </row>
    <row r="343" spans="1:8" s="66" customFormat="1" ht="12.75">
      <c r="A343" s="64"/>
      <c r="B343" s="65"/>
      <c r="C343" s="64"/>
      <c r="D343" s="64"/>
      <c r="E343" s="64"/>
      <c r="G343" s="67"/>
      <c r="H343" s="67"/>
    </row>
    <row r="344" spans="1:8" s="66" customFormat="1" ht="12.75">
      <c r="A344" s="64"/>
      <c r="B344" s="65"/>
      <c r="C344" s="64"/>
      <c r="D344" s="64"/>
      <c r="E344" s="64"/>
      <c r="G344" s="67"/>
      <c r="H344" s="67"/>
    </row>
    <row r="345" spans="1:8" s="66" customFormat="1" ht="12.75">
      <c r="A345" s="64"/>
      <c r="B345" s="65"/>
      <c r="C345" s="64"/>
      <c r="D345" s="64"/>
      <c r="E345" s="64"/>
      <c r="G345" s="67"/>
      <c r="H345" s="67"/>
    </row>
    <row r="346" spans="1:8" s="66" customFormat="1" ht="12.75">
      <c r="A346" s="64"/>
      <c r="B346" s="65"/>
      <c r="C346" s="64"/>
      <c r="D346" s="64"/>
      <c r="E346" s="64"/>
      <c r="G346" s="67"/>
      <c r="H346" s="67"/>
    </row>
    <row r="347" spans="1:8" s="66" customFormat="1" ht="12.75">
      <c r="A347" s="64"/>
      <c r="B347" s="65"/>
      <c r="C347" s="64"/>
      <c r="D347" s="64"/>
      <c r="E347" s="64"/>
      <c r="G347" s="67"/>
      <c r="H347" s="67"/>
    </row>
    <row r="348" spans="1:8" s="66" customFormat="1" ht="12.75">
      <c r="A348" s="64"/>
      <c r="B348" s="65"/>
      <c r="C348" s="64"/>
      <c r="D348" s="64"/>
      <c r="E348" s="64"/>
      <c r="G348" s="67"/>
      <c r="H348" s="67"/>
    </row>
    <row r="349" spans="1:8" s="66" customFormat="1" ht="12.75">
      <c r="A349" s="64"/>
      <c r="B349" s="65"/>
      <c r="C349" s="64"/>
      <c r="D349" s="64"/>
      <c r="E349" s="64"/>
      <c r="G349" s="67"/>
      <c r="H349" s="67"/>
    </row>
    <row r="350" spans="1:8" s="66" customFormat="1" ht="12.75">
      <c r="A350" s="64"/>
      <c r="B350" s="65"/>
      <c r="C350" s="64"/>
      <c r="D350" s="64"/>
      <c r="E350" s="64"/>
      <c r="G350" s="67"/>
      <c r="H350" s="67"/>
    </row>
    <row r="351" spans="1:8" s="66" customFormat="1" ht="12.75">
      <c r="A351" s="64"/>
      <c r="B351" s="65"/>
      <c r="C351" s="64"/>
      <c r="D351" s="64"/>
      <c r="E351" s="64"/>
      <c r="G351" s="67"/>
      <c r="H351" s="67"/>
    </row>
    <row r="352" spans="1:8" s="66" customFormat="1" ht="12.75">
      <c r="A352" s="64"/>
      <c r="B352" s="65"/>
      <c r="C352" s="64"/>
      <c r="D352" s="64"/>
      <c r="E352" s="64"/>
      <c r="G352" s="67"/>
      <c r="H352" s="67"/>
    </row>
    <row r="353" spans="1:8" s="66" customFormat="1" ht="12.75">
      <c r="A353" s="64"/>
      <c r="B353" s="65"/>
      <c r="C353" s="64"/>
      <c r="D353" s="64"/>
      <c r="E353" s="64"/>
      <c r="G353" s="67"/>
      <c r="H353" s="67"/>
    </row>
    <row r="354" spans="1:8" s="66" customFormat="1" ht="12.75">
      <c r="A354" s="64"/>
      <c r="B354" s="65"/>
      <c r="C354" s="64"/>
      <c r="D354" s="64"/>
      <c r="E354" s="64"/>
      <c r="G354" s="67"/>
      <c r="H354" s="67"/>
    </row>
    <row r="355" spans="1:8" s="66" customFormat="1" ht="12.75">
      <c r="A355" s="64"/>
      <c r="B355" s="65"/>
      <c r="C355" s="64"/>
      <c r="D355" s="64"/>
      <c r="E355" s="64"/>
      <c r="G355" s="67"/>
      <c r="H355" s="67"/>
    </row>
    <row r="356" spans="1:8" s="66" customFormat="1" ht="12.75">
      <c r="A356" s="64"/>
      <c r="B356" s="65"/>
      <c r="C356" s="64"/>
      <c r="D356" s="64"/>
      <c r="E356" s="64"/>
      <c r="G356" s="67"/>
      <c r="H356" s="67"/>
    </row>
    <row r="357" spans="1:8" s="66" customFormat="1" ht="12.75">
      <c r="A357" s="64"/>
      <c r="B357" s="65"/>
      <c r="C357" s="64"/>
      <c r="D357" s="64"/>
      <c r="E357" s="64"/>
      <c r="G357" s="67"/>
      <c r="H357" s="67"/>
    </row>
    <row r="358" spans="1:8" s="66" customFormat="1" ht="12.75">
      <c r="A358" s="64"/>
      <c r="B358" s="65"/>
      <c r="C358" s="64"/>
      <c r="D358" s="64"/>
      <c r="E358" s="64"/>
      <c r="G358" s="67"/>
      <c r="H358" s="67"/>
    </row>
    <row r="359" spans="1:8" s="66" customFormat="1" ht="12.75">
      <c r="A359" s="64"/>
      <c r="B359" s="65"/>
      <c r="C359" s="64"/>
      <c r="D359" s="64"/>
      <c r="E359" s="64"/>
      <c r="G359" s="67"/>
      <c r="H359" s="67"/>
    </row>
  </sheetData>
  <sheetProtection/>
  <mergeCells count="9">
    <mergeCell ref="A2:A4"/>
    <mergeCell ref="B2:B4"/>
    <mergeCell ref="C2:C4"/>
    <mergeCell ref="F3:F4"/>
    <mergeCell ref="D2:D4"/>
    <mergeCell ref="E2:E4"/>
    <mergeCell ref="F2:H2"/>
    <mergeCell ref="G3:G4"/>
    <mergeCell ref="H3:H4"/>
  </mergeCells>
  <printOptions horizontalCentered="1"/>
  <pageMargins left="0.1968503937007874" right="0.1968503937007874" top="1.2" bottom="0.3937007874015748" header="0.31" footer="0.15748031496062992"/>
  <pageSetup horizontalDpi="600" verticalDpi="600" orientation="landscape" paperSize="9" r:id="rId1"/>
  <headerFooter alignWithMargins="0">
    <oddHeader>&amp;L&amp;"Arial,Aldin"ROMÂNIA
JUDEŢUL MUREŞ
CONSILIUL JUDEŢEAN &amp;C
&amp;"Arial,Aldin"PROGRAM  DE INVESTIŢII PE ANUL 2010&amp;R&amp;"Arial,Aldin"ANEXA nr.8/d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Csaba_F</cp:lastModifiedBy>
  <cp:lastPrinted>2010-09-28T11:58:57Z</cp:lastPrinted>
  <dcterms:created xsi:type="dcterms:W3CDTF">2009-06-15T11:01:22Z</dcterms:created>
  <dcterms:modified xsi:type="dcterms:W3CDTF">2010-09-29T08:22:18Z</dcterms:modified>
  <cp:category/>
  <cp:version/>
  <cp:contentType/>
  <cp:contentStatus/>
</cp:coreProperties>
</file>