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5640" firstSheet="2" activeTab="7"/>
  </bookViews>
  <sheets>
    <sheet name="Zona metropolitana" sheetId="1" r:id="rId1"/>
    <sheet name="Zona est" sheetId="2" r:id="rId2"/>
    <sheet name="Zona nord" sheetId="3" r:id="rId3"/>
    <sheet name="Zona sud" sheetId="4" r:id="rId4"/>
    <sheet name="Zona sud vest" sheetId="5" r:id="rId5"/>
    <sheet name="Zona vest" sheetId="6" r:id="rId6"/>
    <sheet name="Zona nord vest" sheetId="7" r:id="rId7"/>
    <sheet name="Proiecte CJM" sheetId="8" r:id="rId8"/>
  </sheets>
  <definedNames>
    <definedName name="_xlnm.Print_Titles" localSheetId="7">'Proiecte CJM'!$3:$3</definedName>
    <definedName name="_xlnm.Print_Titles" localSheetId="1">'Zona est'!$1:$2</definedName>
    <definedName name="_xlnm.Print_Titles" localSheetId="0">'Zona metropolitana'!$1:$2</definedName>
    <definedName name="_xlnm.Print_Titles" localSheetId="2">'Zona nord'!$1:$2</definedName>
    <definedName name="_xlnm.Print_Titles" localSheetId="6">'Zona nord vest'!$1:$2</definedName>
    <definedName name="_xlnm.Print_Titles" localSheetId="3">'Zona sud'!$1:$2</definedName>
    <definedName name="_xlnm.Print_Titles" localSheetId="4">'Zona sud vest'!$1:$2</definedName>
    <definedName name="_xlnm.Print_Titles" localSheetId="5">'Zona vest'!$1:$2</definedName>
    <definedName name="_xlnm.Print_Area" localSheetId="7">'Proiecte CJM'!$A$1:$F$50</definedName>
    <definedName name="_xlnm.Print_Area" localSheetId="1">'Zona est'!$A$1:$F$205</definedName>
    <definedName name="_xlnm.Print_Area" localSheetId="0">'Zona metropolitana'!$A$1:$F$136</definedName>
    <definedName name="_xlnm.Print_Area" localSheetId="2">'Zona nord'!$A$1:$F$211</definedName>
    <definedName name="_xlnm.Print_Area" localSheetId="6">'Zona nord vest'!$A$1:$F$141</definedName>
    <definedName name="_xlnm.Print_Area" localSheetId="3">'Zona sud'!$A$1:$F$99</definedName>
    <definedName name="_xlnm.Print_Area" localSheetId="4">'Zona sud vest'!$A$1:$F$110</definedName>
    <definedName name="_xlnm.Print_Area" localSheetId="5">'Zona vest'!$A$1:$F$110</definedName>
  </definedNames>
  <calcPr fullCalcOnLoad="1"/>
</workbook>
</file>

<file path=xl/sharedStrings.xml><?xml version="1.0" encoding="utf-8"?>
<sst xmlns="http://schemas.openxmlformats.org/spreadsheetml/2006/main" count="2902" uniqueCount="970">
  <si>
    <t>Reţea de canalizare menajeră şi staţie de epurare în localitatea  Cucerdea şi Şeulia</t>
  </si>
  <si>
    <t>Reparaţii la acoperişul căminului cultural din Bord</t>
  </si>
  <si>
    <t>Reparaţii poduri  şi podeţe</t>
  </si>
  <si>
    <t>Modernizare străzi şi regularizare torenţi aferenţi intravilanului Municipiului Tîrnăveni zonele: sud-est, sud-vest, nord-est, nord, vest, est</t>
  </si>
  <si>
    <t>Reparaţii acoperiş, igienizări şi zugrăveli la Şcolile Generale din Cucerdea şi Şeuliu</t>
  </si>
  <si>
    <t>Varianta de ocolire a municipiului Reghin</t>
  </si>
  <si>
    <t>Canalizare menajeră în cartierul Apalina</t>
  </si>
  <si>
    <t>Extindere alimentare cu apă potabilă pe strada Câmpului din municipiul Reghin</t>
  </si>
  <si>
    <t xml:space="preserve">Extindere reţea de apă Reghin - Fărăgău </t>
  </si>
  <si>
    <t>Proiect pentru reabilitarea şcolilor şi grădiniţelor de pe raza comunei Breaza: 6 şcoli  şi 4 grădiniţe</t>
  </si>
  <si>
    <t>Reamenajarea şi modernizarea infrastructurii "Ştrandului din Complexul Avântul Reghin"</t>
  </si>
  <si>
    <t>Amenajarea albiilor şi malurilor canalului Morii şi Pâraielor din Reghin</t>
  </si>
  <si>
    <t>Proiecte - Zona nord</t>
  </si>
  <si>
    <t>ALUNIŞ</t>
  </si>
  <si>
    <t xml:space="preserve">Modernizarea DC3 Aluniş (DJ154A) – Fiţcău şi reţeaua stradală Fiţcău </t>
  </si>
  <si>
    <t>BATOŞ</t>
  </si>
  <si>
    <t>Reabilitarea drumurilor comunale DC 162 – 7 km.</t>
  </si>
  <si>
    <t>BREAZA</t>
  </si>
  <si>
    <t>Proiect pentru continuarea lucrării de pietruire a DC 156 Filpişu Mic-Breaza, pe o distanţă de 2,5 km</t>
  </si>
  <si>
    <t>CHIHERU DE JOS</t>
  </si>
  <si>
    <t>Modernizare DC Şerbeni – Urisiu şi modernizare DC Chiheru de Sus – Cătun între Văi</t>
  </si>
  <si>
    <t>DEDA</t>
  </si>
  <si>
    <t>Reabilitare drum comunal Bistra Vale</t>
  </si>
  <si>
    <t>Reabilitare drum comunal Pietriş Vale</t>
  </si>
  <si>
    <t>Reabilitare drumuri comunale în Deda, Bistra Mureşului, Filea şi Pietriş</t>
  </si>
  <si>
    <t>GURGHIU</t>
  </si>
  <si>
    <t>Modernizare DC7, DJ 154E (Gurghiu) – Caşva – Glăjărie, KM 0+000 ¸ 10+770</t>
  </si>
  <si>
    <t>LUNCA</t>
  </si>
  <si>
    <t>Modernizare DC loc. Logig</t>
  </si>
  <si>
    <t>Modernizare drum comunal DC 161  - 5 km. (proiect de perspectiv[, fonduri SAPARD)</t>
  </si>
  <si>
    <t xml:space="preserve">LUNCA BRADULUI  </t>
  </si>
  <si>
    <t>Reabilitare drum comunal - 8 km</t>
  </si>
  <si>
    <t>STÎNCENI</t>
  </si>
  <si>
    <t>Reabilitarea drumurilor comunale la nivelul celor trei sate (proiect în derulare, din fonduri proprii - buget local)</t>
  </si>
  <si>
    <t>VĂTAVA</t>
  </si>
  <si>
    <t>Modernizare DC 164 Morăreni (DN15) Dumbrava-Vătava(DJ 154B) km 2+000 – 7+100, comuna Vătava  (Proiect eligibil dar fără fonduri disponibile)</t>
  </si>
  <si>
    <t>Pietruire drum comunal DC 156 Breaza-Filipsu Mic  2,5 km</t>
  </si>
  <si>
    <t>BEICA DE JOS</t>
  </si>
  <si>
    <t>Turnarea unui covor asfaltic între localităţile Beica de Jos şi Urisiu</t>
  </si>
  <si>
    <t>Drumuri comunale - 20 km</t>
  </si>
  <si>
    <t>FĂRĂGĂU</t>
  </si>
  <si>
    <t>Pietruit drumuri comunale</t>
  </si>
  <si>
    <t>Reabilitare drum forestier Orşova</t>
  </si>
  <si>
    <t>HODAC</t>
  </si>
  <si>
    <t>Reparaţii drumuri în interiorul comunei</t>
  </si>
  <si>
    <t>Modernizare drum comunal DC 161 între DN 15/a şi localitatea Logig</t>
  </si>
  <si>
    <t>SOLOVĂSTRU</t>
  </si>
  <si>
    <t xml:space="preserve">Modernizare drum comunal şi reţea stradală </t>
  </si>
  <si>
    <t>SUSENI</t>
  </si>
  <si>
    <t>Modernizare drum comunal Suseni- Luieriu</t>
  </si>
  <si>
    <t>VOIEVODENI</t>
  </si>
  <si>
    <t>Pietruire modernizare DC 154 Voievodeni-Toldal, Km 0+000-2+000 şi Km 4+000-5+000</t>
  </si>
  <si>
    <t>Prioritatea I - Alimentare cu apă</t>
  </si>
  <si>
    <t>Introducere apă potabilă în comuna Batoş</t>
  </si>
  <si>
    <t>Introducere apă potabilă în localitatea Beica de Jos (SAPARD)</t>
  </si>
  <si>
    <t>Reţea de alimentare cu apă potabilă în comuna Breaza (SAPARD)</t>
  </si>
  <si>
    <t>PT</t>
  </si>
  <si>
    <t>Reabilitarea sistemului centralizat de alimentare cu apă Deda - Filea</t>
  </si>
  <si>
    <t>Introducere apă în comuna Fărăgău</t>
  </si>
  <si>
    <t>GORNEŞTI</t>
  </si>
  <si>
    <t xml:space="preserve">Reţea de apă potabilă în localităţile Gorneşti şi Periş – etapa I ;  </t>
  </si>
  <si>
    <t>Alimentarea cu apă în localităţile Hodac, Toaca, Dubişte</t>
  </si>
  <si>
    <t>IBĂNEŞTI</t>
  </si>
  <si>
    <t>Alimentarea cu apă potabilă a localităţii Ibăneşti</t>
  </si>
  <si>
    <t>IDECIU DE JOS</t>
  </si>
  <si>
    <t>Extindere alimentare cu apă loc. Ideciu de Sus</t>
  </si>
  <si>
    <t>Alimentare cu apă loc. Deleni</t>
  </si>
  <si>
    <t>Reţea de alimentare cu apă şi canalizare menajeră în zona Băi Ideciu de Jos</t>
  </si>
  <si>
    <t>LUNCA BRADULUI</t>
  </si>
  <si>
    <t>Extindere reţea apă potabilă în Lunca Bradului</t>
  </si>
  <si>
    <t>RĂSTOLIŢA</t>
  </si>
  <si>
    <t>Introducerea apei potabile şi canalizare  în comuna Răstoliţa</t>
  </si>
  <si>
    <t>Extindere reţea de alimentare cu apă în satele Solovăstru şi Jabeniţa</t>
  </si>
  <si>
    <t>Reabilitare sistem de alimentare cu apă în comuna Vătava</t>
  </si>
  <si>
    <t>VOIVODENI</t>
  </si>
  <si>
    <t>Reabilitarea şi extinderea reţelei de apă potabilă în localităţile  componente ale Comunei Voivodeni</t>
  </si>
  <si>
    <t>REGHIN-FĂRĂGĂU</t>
  </si>
  <si>
    <t>Extindere reţea apă Reghin Fărăgău</t>
  </si>
  <si>
    <t>BRÂNCOVENEŞTI</t>
  </si>
  <si>
    <t>Introducerea apei potabile în comuna Brîncoveneşti</t>
  </si>
  <si>
    <t>Introducerea apei potabile în Breaza, Filipsu Mare, Filipsu Mic</t>
  </si>
  <si>
    <t>COSMS</t>
  </si>
  <si>
    <t>Alimentare cu apă potabilă în localităţile Cozma şi Socol</t>
  </si>
  <si>
    <t>GLODENI</t>
  </si>
  <si>
    <t>Introducere apă potabilă în satul Glodeni</t>
  </si>
  <si>
    <t>Reţea de apă potabilă în localităţile Pădureni, Petrilaca, Teleac, Iara de Mureş, Ilioara, Mura-Mare, Mura-Mică – etapa II</t>
  </si>
  <si>
    <t xml:space="preserve">Alimentare cu apă a localităţii Comori;   </t>
  </si>
  <si>
    <t xml:space="preserve">Alimentare cu apă a localităţilor Orşova-Orşova Pădure; </t>
  </si>
  <si>
    <t>Alimentare cu apă a localităţilor Glăjărie-Larga-Fundoaia-Păuloaia-Caşva</t>
  </si>
  <si>
    <t>Corectarea torenţilor din Bazinul hidrografic Valea Mureşului</t>
  </si>
  <si>
    <t>REGHIN</t>
  </si>
  <si>
    <t>Continuarea lucrărilor de extindere reţea stradală apă potabilă</t>
  </si>
  <si>
    <t>Extinderea reţelei de distribuţie a apei potabile în localitatea  Toldal</t>
  </si>
  <si>
    <t>Prioritatea I - Infrastructură tehnico-edilitară - canalizare</t>
  </si>
  <si>
    <t>Canalizarea şi epurarea apelor menajere în comunele Aluniş, Ruşii Munţi şi Deda.</t>
  </si>
  <si>
    <t>Reabilitarea reţelei de canalizare şi a staţiei de epurare în localitatea Batoş</t>
  </si>
  <si>
    <t>Introducere canalizare în localitatea Beica de Jos</t>
  </si>
  <si>
    <t>Canalizare şi epurare a apelor menajere comuna Deda</t>
  </si>
  <si>
    <t xml:space="preserve">Canalizare  şi epurare a apei menajere în comunele Aluniş, Deda şi Ruşii </t>
  </si>
  <si>
    <t>Reţea de canalizare  în localităţile Gorneşti şi Periş – etapa I</t>
  </si>
  <si>
    <t>Reabilitarea reţelei de canalizare în satul Lunca  Bradului</t>
  </si>
  <si>
    <t>PETELEA</t>
  </si>
  <si>
    <t>Introducerea canalizării în localitatea Petelea</t>
  </si>
  <si>
    <t>Modernizare Staţie de epurare</t>
  </si>
  <si>
    <t>RUŞII MUNŢI</t>
  </si>
  <si>
    <t>Canalizare menajeră  în comuna Solovăstru</t>
  </si>
  <si>
    <t>Înfiinţare reţea canalizare în localitatea Suseni</t>
  </si>
  <si>
    <t>Extindere reţele de canalizare în toate satele comunei</t>
  </si>
  <si>
    <t>Rebilitare Staţie de epurare</t>
  </si>
  <si>
    <t>Introducere reţea de canalizare  în comuna Beica de Jos</t>
  </si>
  <si>
    <t>COSMA</t>
  </si>
  <si>
    <t>Canalizare în localităţile Cozma şi Socol</t>
  </si>
  <si>
    <t>Canalizare</t>
  </si>
  <si>
    <t>Reţea de canalizare în localităţile Pădureni, Petrilaca, Teleac, Iara de Mureş, Ilioara, Mura-Mare, Mura-Mică – etapa II</t>
  </si>
  <si>
    <t>Canalizare şi Staţie de epurare în localitatea Gurghiu</t>
  </si>
  <si>
    <t xml:space="preserve">LUNCA </t>
  </si>
  <si>
    <t>Construirea reţelei de canalizare în localitatea  Voivodeni</t>
  </si>
  <si>
    <t>Construirea reţelei de canalizare în localitatea  Toldal</t>
  </si>
  <si>
    <t>TOTAL Infrastructură tehnico-edilitară - canalizare</t>
  </si>
  <si>
    <t>Construirea reţelei de gaze naturale în comuna Brâncoveneşti</t>
  </si>
  <si>
    <t>Racord, SRMP şi reţea de distribuţie gaze naturale în satul Filpişu Mare, comuna Breaza</t>
  </si>
  <si>
    <t xml:space="preserve">Racord, SRMP şi reţea de distribuţie gaze naturale în satul Filpişu Mic, comuna Breaza </t>
  </si>
  <si>
    <t>Alimentare gaz localităţile Poarta, Tonciu</t>
  </si>
  <si>
    <t>Extinderea  reţelei de gaza naturale în satul Orşova, comuna Gurghiu</t>
  </si>
  <si>
    <t>Introducerea gazului metan în comuna Suseni (satele : Suseni şi Luieriu)</t>
  </si>
  <si>
    <t>Proiect pentru reabilitarea Căminelor culturale ( trei cădiri)</t>
  </si>
  <si>
    <t>Transformarea clădirii fostului dispensar veterinar în cămin cultural</t>
  </si>
  <si>
    <t>SF / faza de elaborare</t>
  </si>
  <si>
    <t xml:space="preserve">Reabilitare cămine culturale </t>
  </si>
  <si>
    <t xml:space="preserve">SF </t>
  </si>
  <si>
    <t>Reabilitare Cămin Cultural  Sat Vale Pietris</t>
  </si>
  <si>
    <t>Modernizarea actualului cămin cultural din localitatea reşedinţă de judeţ</t>
  </si>
  <si>
    <t>Prioritatea I - Infrastructura de transport - poduri</t>
  </si>
  <si>
    <t>TOTAL Infrastructura de transport - poduri</t>
  </si>
  <si>
    <t>Prioritatea I - Infrastructură tehnico-edilitara - construcţii locuinţe</t>
  </si>
  <si>
    <t>TOTAL Infrastructură tehnico-edilitara - construcţii locuinţe</t>
  </si>
  <si>
    <t>Prioritatea I - Canalizare</t>
  </si>
  <si>
    <t>Prioritatea I - Infrastructura tehnico-edilitara - iluminat public</t>
  </si>
  <si>
    <t>TOTAL Infrastructura tehnico-edilitara - iluminat public</t>
  </si>
  <si>
    <t>Prioritatea I - Infrastructură de transport - poduri</t>
  </si>
  <si>
    <t>TOTAL Infrastructură de transport - poduri</t>
  </si>
  <si>
    <t>Prioritatea I - Infrastructura socială - educaţie</t>
  </si>
  <si>
    <t>TOTAL  Infrastructura socială - educaţie</t>
  </si>
  <si>
    <t>Prioritatea I - Infrastructură tehnico-edilitară gaze naturale</t>
  </si>
  <si>
    <t>TOTAL Infrastructură tehnico-edilitară gaze naturale</t>
  </si>
  <si>
    <t>Prioritatea I - Infrastructură tehnico-edilitară - iluminat public</t>
  </si>
  <si>
    <t>TOTAL Infrastructură tehnico-edilitară - iluminat public</t>
  </si>
  <si>
    <t>Prioritatea IV - Infrastructură de transport - poduri</t>
  </si>
  <si>
    <t>Total    Infrastructură de transport - poduri</t>
  </si>
  <si>
    <t>Prioritatea I - Infrastructură socială - educaţie</t>
  </si>
  <si>
    <t>TOTAL Infrastructură socială - educaţie</t>
  </si>
  <si>
    <t>Prioritatea I -Infrastructura de transport - poduri</t>
  </si>
  <si>
    <t>Prioritatea I -Infrastructura socială - construcţii locuinţe</t>
  </si>
  <si>
    <t>TOTAL Infrastructura socială - construcţii locuinţe</t>
  </si>
  <si>
    <t>TOTAL nfrastructura socială - educaţie</t>
  </si>
  <si>
    <t>Prioritatea I Infrastructura socială - Construcţii locuinţe</t>
  </si>
  <si>
    <t>TOTAL  Infrastructura socială - Construcţii locuinţe</t>
  </si>
  <si>
    <t>TOTAL  Infrastructura de transport  - poduri</t>
  </si>
  <si>
    <t>Prioritatea I - Infrastructura socială - construcţii locuinţe</t>
  </si>
  <si>
    <t>TOTAL Infrastructura socială - educaţie</t>
  </si>
  <si>
    <t>Prioritatea I- Infrastructura socială - educaţie</t>
  </si>
  <si>
    <t>Prioritatea I Infrastructura socială - Servicii sociale</t>
  </si>
  <si>
    <t>TOTAL Infrastructura socială - Servicii sociale</t>
  </si>
  <si>
    <t>TOTAL  Infrastructura socială - construcţii locuinţe</t>
  </si>
  <si>
    <t>TOTAL -  Infrastructura socială - educaţie</t>
  </si>
  <si>
    <t>Prioritatea I -Infrastructura socială - Servicii sociale</t>
  </si>
  <si>
    <t>Renovarea, extinderea şi modernizarea căminelor culturale din localităţile Periş, Teleac, Pădureni</t>
  </si>
  <si>
    <t xml:space="preserve">PT </t>
  </si>
  <si>
    <t>Construire cămin cultural în localitatea Logig</t>
  </si>
  <si>
    <t>Reabilitate cămin cultural</t>
  </si>
  <si>
    <t>Reabilitarea învelitorilor la Căminele culturale Solovăstru, Jabeniţa</t>
  </si>
  <si>
    <t>Prioritatea I - Proiecte sediul administrativ</t>
  </si>
  <si>
    <t>Renovarea sediului primăriei</t>
  </si>
  <si>
    <t>Reînnoirea sediului primăriei</t>
  </si>
  <si>
    <t>Reparaţii capitale la clădirea primăriei</t>
  </si>
  <si>
    <t>Încălzire centrala sediul administrative al Primariei Deda</t>
  </si>
  <si>
    <t>Construirea unui nou sediu al Primăriei</t>
  </si>
  <si>
    <t>Construire sediu administrativ</t>
  </si>
  <si>
    <t>Extinderea şi modernizarea clădirii Primăriei Gorneşti</t>
  </si>
  <si>
    <t>Construirea unei Primării noi în localitatea Periş, în funcţie de rezultatul referendumului din primăvara anului 2007</t>
  </si>
  <si>
    <t>Modernizare sediu primarie</t>
  </si>
  <si>
    <t>Îmbunătăţirea, optimizarea şi aprinderea automată a iluminatului public în localităţile comunei</t>
  </si>
  <si>
    <t>SPITAL MUNICIPAL "Dr. Eugen Nicoară" REGHIN</t>
  </si>
  <si>
    <t>Reparatii Capitale la sectiile Obstetrica Ginecologie si Nou Nascuti din incinta Spitalului Municipal “dr. Eugen Nicoara” Reghin</t>
  </si>
  <si>
    <t>SPITAL MUNICIPAL "Dr.Eugen Nicoară" REGHIN</t>
  </si>
  <si>
    <t>Termice din incinta Spitalului Municipal “dr. Eugen Nicoara” Reghin</t>
  </si>
  <si>
    <t>Reparatie Capitala la aripa veche a sectiei Pediatrie din incinta Spitalului Municipal “dr. Eugen Nicoara” Reghin</t>
  </si>
  <si>
    <t>Realizarea rampelor de acces pentru handicapati la intrarea in cladirile Spitalului Municipal “dr. Eugen Nicoara” Reghin</t>
  </si>
  <si>
    <t>Construirea unui Spital Municipal nou</t>
  </si>
  <si>
    <t>Decolmatare "canalul morii" pentru evitarea inundaţiilor din localitatea Suseni</t>
  </si>
  <si>
    <t>Construire dispensar uman</t>
  </si>
  <si>
    <t>Construirea unei platforme pentru deşeuri</t>
  </si>
  <si>
    <t>Prioritatea I - Infrastructura socială - săli de sport</t>
  </si>
  <si>
    <t>Realizarea unei baze sportive</t>
  </si>
  <si>
    <t>Executie  Sala de sport  la Grup Şcolar Vasile Netea</t>
  </si>
  <si>
    <t>SF în executie</t>
  </si>
  <si>
    <t>Construirea  unei săli de sport la nivelul comunei</t>
  </si>
  <si>
    <t>GORNESTI</t>
  </si>
  <si>
    <t>Construirea unei săli de sport în localitatea Gorneşti</t>
  </si>
  <si>
    <t>TOTAL Infrastructura socială - săli de sport</t>
  </si>
  <si>
    <t>Prioritatea III - Dezvoltare turism</t>
  </si>
  <si>
    <t>Modernizare băi agrement şi tratament</t>
  </si>
  <si>
    <t>TOTAL proiecte dezvoltare turism</t>
  </si>
  <si>
    <t>Pasarelă pietonală peste râul Mureş care să facă legătura între comunele Ruşii Munţi-Aluniş-Brâncoveneşti şi satele aparţinătoare</t>
  </si>
  <si>
    <t>Poduri , podeţe - 10</t>
  </si>
  <si>
    <t>Pod de beton peste râul Gurghiu, pod care face legătura între localitatea Hodac şi Ibăneşti – lucrare în execuţie</t>
  </si>
  <si>
    <t>PT în executie</t>
  </si>
  <si>
    <t>Reparare poduri, podeţe</t>
  </si>
  <si>
    <t>Pod peste râul Mureş</t>
  </si>
  <si>
    <t>Construirea unui pod  peste Râul Mureş, din beton  armat, în localitatea Stînceni</t>
  </si>
  <si>
    <t>Construire locuinte sociale pentru rromi</t>
  </si>
  <si>
    <t>Covor bituminos pe DJ 153 k. 39+910 – 41+710</t>
  </si>
  <si>
    <t>Covor bituminos Str. Trandafirilor km 0+507  - 0+867</t>
  </si>
  <si>
    <t>Covor bituminos Str. Eminescu</t>
  </si>
  <si>
    <t>BRÎNCOVENEŞTI</t>
  </si>
  <si>
    <t>Construirea de trotuare în satele Brîncoveneşti şi Vălenii de Mureş prin pavaj</t>
  </si>
  <si>
    <t xml:space="preserve">DEDA </t>
  </si>
  <si>
    <t>Proiect extindere clasă, Şcoala Bistra Mureşului</t>
  </si>
  <si>
    <t>Reabilitare şcoală Comuna Deda</t>
  </si>
  <si>
    <t>Centrală termică în Şcoala Generală Fărăgău</t>
  </si>
  <si>
    <t>Reabilitare ansamblu clădiri - Şcoala silvică - clădirea veche</t>
  </si>
  <si>
    <t>Reparaţii şarpantă Şcoala Hodac şi Şcoala Toaca</t>
  </si>
  <si>
    <t>SOLOVASTRU</t>
  </si>
  <si>
    <t>Construire gradiniţă Jabeniţa</t>
  </si>
  <si>
    <t>Încălzire centralizată la Şcoala Generală Solovăstru şi S.G. Jabeniţa</t>
  </si>
  <si>
    <t>SF în elaborare</t>
  </si>
  <si>
    <t>Centrul de îngrijire şi asistenţă Lunca Mureşului</t>
  </si>
  <si>
    <t>SPF, SF</t>
  </si>
  <si>
    <t>Proiecte - Zona sud</t>
  </si>
  <si>
    <t>ALBEŞTI</t>
  </si>
  <si>
    <t>Modernizare DC 51, DC A</t>
  </si>
  <si>
    <t>APOLD</t>
  </si>
  <si>
    <t>Asfaltare drum comunal Apold-Daia-Vulcan</t>
  </si>
  <si>
    <t>DANEŞ</t>
  </si>
  <si>
    <t>Modernizarea străzilor în cartierul locuit de rromi din localitatea Daneş</t>
  </si>
  <si>
    <t>Reabilitare drum în satul Seleuş, comuna Daneş</t>
  </si>
  <si>
    <t>SASCHIZ</t>
  </si>
  <si>
    <t>Modernizare drumuri forestiere în comuna Saschiz</t>
  </si>
  <si>
    <t>Modernizare drum comunal DC 53</t>
  </si>
  <si>
    <t>Modernizarea drumului de acces la cetate</t>
  </si>
  <si>
    <t>Pietruire străzi  în zonele locuite de rromi</t>
  </si>
  <si>
    <t>Prioritatea I - Infrastructura tehnico-edilitară - alimentare cu apă</t>
  </si>
  <si>
    <t>Introducere apă în comuna Saschiz</t>
  </si>
  <si>
    <t>VÎNĂTORI</t>
  </si>
  <si>
    <t xml:space="preserve">TOTAL - alte proiecte </t>
  </si>
  <si>
    <t>Prioritatea IV - Dezvoltarea durabilă a localităţilor - mediul urban</t>
  </si>
  <si>
    <t>TOTAL mediul urban</t>
  </si>
  <si>
    <t>Prioritatea IV - Dezvoltarea durabilă a localitaţilor - mediul urban</t>
  </si>
  <si>
    <t>Prioritatea IV - Dezvoltarea durabilă a localităţilor-alte proiecte</t>
  </si>
  <si>
    <t>Alimentare cu apă în comuna Vănători</t>
  </si>
  <si>
    <t>SIGHIŞOARA</t>
  </si>
  <si>
    <t>Extindere reţea de apă menajeră şi pluvială în municipiul Sighişoara - faza1</t>
  </si>
  <si>
    <t>SF+PT</t>
  </si>
  <si>
    <t>Extindere reţea de apă menajeră şi pluvială în municipiul Sighişoara - faza 2</t>
  </si>
  <si>
    <t>Extindere reţea de apă menajeră şi pluvială în municipiul Sighişoara - faza 3</t>
  </si>
  <si>
    <t>NADEŞ</t>
  </si>
  <si>
    <t>Introducerea apei potabile în satele Nadeş şi Ţigmandru, într-o primă etapă,apoi satele Măgheruş şi Pipea</t>
  </si>
  <si>
    <t>Reabilitarea reţelelor de distribuţie a apei</t>
  </si>
  <si>
    <t>Modernizarea uzinei de apă Sighişoara</t>
  </si>
  <si>
    <t>Extinderea reţelelor de alimentare cu apă</t>
  </si>
  <si>
    <t>TOTAL Infrastructura tehnico-edilitară - alimentare cu apă</t>
  </si>
  <si>
    <t>Prioritatea I - Infrastructura tehnico-edilitară - canalizare</t>
  </si>
  <si>
    <t>Canalizare în satul Albeşti (necesar Boiu şi Ţopa)</t>
  </si>
  <si>
    <t>Introducere canalizare în satul Daneş</t>
  </si>
  <si>
    <t>SF în execuţie</t>
  </si>
  <si>
    <t>Extinderea reţelelor de canalizare</t>
  </si>
  <si>
    <t>Extindere şi modernizare Staţie de epurare în Sighişoara -Varianta 1</t>
  </si>
  <si>
    <t>Extindere şi modernizare Staţie de epurare în Sighişoara- Varianta 2</t>
  </si>
  <si>
    <t>Infrastructura de sănătate</t>
  </si>
  <si>
    <t>Infrastructură de mediu</t>
  </si>
  <si>
    <t>Infrastructura de transport</t>
  </si>
  <si>
    <t>Infrastructura de cultură</t>
  </si>
  <si>
    <t>Construirea unui sistem de canalizare pentru satele Nadeş şi Ţigmandru, într-o primă etapă, apoi satele Măgheruş şi Pipea</t>
  </si>
  <si>
    <t>Canalizare menajeră în comuna Saschiz</t>
  </si>
  <si>
    <t>Staţie de epurare în cartierul Hetiur</t>
  </si>
  <si>
    <t xml:space="preserve"> TOTAL Infrastructura tehnico-edilitară - canalizare</t>
  </si>
  <si>
    <t>Prioritatea I - Infrastructura tehnico-edilitară - gaze naturale</t>
  </si>
  <si>
    <t>VEŢCA</t>
  </si>
  <si>
    <t>Racord, SRMP şi reţea de distribuţie gaze naturale comuna Veţca (satele: Veţca, Sălaşuri, Jacodu)</t>
  </si>
  <si>
    <t>Infiinţare distribuţie gaze naturale cu presiune redusă în comuna Vînători (satul Şoard)</t>
  </si>
  <si>
    <t>TOTAL Infrastructura tehnico-edilitară - gaze naturale</t>
  </si>
  <si>
    <t>Dotare cu echipamente IT -sediul administrativ</t>
  </si>
  <si>
    <t>TOTAL proiecte sediu administrativ</t>
  </si>
  <si>
    <t>SPITAL MUNICIPAL SIGHIŞOARA</t>
  </si>
  <si>
    <t>Reparatii capitalela sectiile Obstetrica-Ginecologie si Nou -Nascuti</t>
  </si>
  <si>
    <t>Reparatii capitale la Dispensarul Pneumo- ftiziologie</t>
  </si>
  <si>
    <t>Reparatii capitale la sectia Pediatrie si Administrativ</t>
  </si>
  <si>
    <t>Reparatii capitale la Ambulatorul de Specialitate</t>
  </si>
  <si>
    <t xml:space="preserve">Reparatii capitale la sectia PNF din incinta  la S.M.S </t>
  </si>
  <si>
    <t>Reparatii capitale la sectia Infectioase si UPU.din incinta S.M.S.</t>
  </si>
  <si>
    <t>Reparatii capitale la sectia Chirurgie din incinta S.M.S</t>
  </si>
  <si>
    <t>Reparatii capitale la sectia Interne si Cardiologie din incinta S.M.S</t>
  </si>
  <si>
    <t>Construirea unui Spital Municipal nou.</t>
  </si>
  <si>
    <t>Îmbunătăţirea sistemului de epurare a apelor uzate (levigat) în depozitul de deşeuri al municipiului Sighişoara</t>
  </si>
  <si>
    <t>Construire sală de sport</t>
  </si>
  <si>
    <t>Reabilitarea zonei istorice, cetatea şi centrul civic</t>
  </si>
  <si>
    <t>Construcţie locuinţe pentru tineret (ANL)</t>
  </si>
  <si>
    <t>Atragerea unui program pentru construcţia de locuinţe sociale pentru rromi</t>
  </si>
  <si>
    <t>Pod de beton armat peste pârâul Criş</t>
  </si>
  <si>
    <t>Pod peste pârâul Senereuş</t>
  </si>
  <si>
    <t>Pod de beton armat peste pârâul Seleus</t>
  </si>
  <si>
    <t>Pod peste pârâul Seleuş</t>
  </si>
  <si>
    <t>Modernizare platforme software şi hardware</t>
  </si>
  <si>
    <t>Modernizare dispecerat integrat de urgenţă</t>
  </si>
  <si>
    <t>Construire şi amenajare parcări</t>
  </si>
  <si>
    <t>Pod peste pârâul Valea Scroafei, pentru acces la cetate</t>
  </si>
  <si>
    <t>Modernizare drum comunal DC 83 cuprins între satul apartinător Bobohalma şi DN 14A</t>
  </si>
  <si>
    <t xml:space="preserve">POR M 1.1 </t>
  </si>
  <si>
    <t>Aeroportul Tîrgu Mureş - Extindere pistă de decolare aterizare şi platformă de operare pentru avioane, inclusiv instalaţiile aferente</t>
  </si>
  <si>
    <t>Beneficiar</t>
  </si>
  <si>
    <t>Reabilitarea  şi  modernizarea sistemului rutier pe  drumul judeţean  DJ 142C limita judet Sibiu-Coroisanmartin (DJ 142)</t>
  </si>
  <si>
    <t>Depozit ecologic la nivel regional şi sistem de colectare selectivă a deşeurilor în judeţul Mureş</t>
  </si>
  <si>
    <t>Reabilitare cale ferată cu ecartament îngust Târgu Mureş - Sovata</t>
  </si>
  <si>
    <t>SIGHISOARA</t>
  </si>
  <si>
    <t>Proiect pentru reabilitare termica a unor scoli</t>
  </si>
  <si>
    <t>Proiecte - Zona sud-vest</t>
  </si>
  <si>
    <t xml:space="preserve">Prioritatea I - Infrastructura de transport </t>
  </si>
  <si>
    <t>AŢINTIŞ</t>
  </si>
  <si>
    <t>Modernizare drumuri comunale DC90-92 - 5 km</t>
  </si>
  <si>
    <t>BAHNEA</t>
  </si>
  <si>
    <t>Modernizarea drumurilor comunale pe direcţia Bahnea-Lepindea-Daia-Idiciu, în lungime totală de 20 km.</t>
  </si>
  <si>
    <t xml:space="preserve">Pietruirea drumului dintre localităţile Bernadea – Căpâlna de Sus, în lungime de 3 km. </t>
  </si>
  <si>
    <t>BICHIŞ</t>
  </si>
  <si>
    <t>Modernizarea  DC93 Bichiş – Gîmbuţ KM 0+000 – 4+000</t>
  </si>
  <si>
    <t>COROISÎNMĂRTIN</t>
  </si>
  <si>
    <t>Modernizarea  drumului comunal Coroisînmărtin-Şoimuş</t>
  </si>
  <si>
    <t>CUCERDEA</t>
  </si>
  <si>
    <t>Modernizare DC 84 - Intersecţie DN 14 A - Şeulia de Mureş - Bord</t>
  </si>
  <si>
    <t>GĂNEŞTI</t>
  </si>
  <si>
    <t>Repararea, întreţinerea şi  modernizarea drumurilor comunale</t>
  </si>
  <si>
    <t>MICA</t>
  </si>
  <si>
    <t>Pietruire DC 76-2 km</t>
  </si>
  <si>
    <t>Asfaltare DC75 - 4 km</t>
  </si>
  <si>
    <t>VIIŞOARA</t>
  </si>
  <si>
    <t>Completare la reabilitarea DC 70 Sîntioana, comuna Viişoara – Zid de Sprijin</t>
  </si>
  <si>
    <t>Reabilitare DC 70 Ormeniş-Sîntioana şi ale DC din satul Sîntioana, jud. Mureş</t>
  </si>
  <si>
    <t>Drum pietruit între localităţile Viişoara-Ormeniş-Sîntioana,  judeţ Mureş</t>
  </si>
  <si>
    <t>SUPLAC</t>
  </si>
  <si>
    <t>Reparaţie drum comunal</t>
  </si>
  <si>
    <t>Construcţie/modernizare drum forestier</t>
  </si>
  <si>
    <t xml:space="preserve">TOTAL Infrastructura de transport </t>
  </si>
  <si>
    <t>Prioritatea I - Infrastructura locală - alimentare cu apă</t>
  </si>
  <si>
    <t>Introducere apă potabilă în satul Aţintiş</t>
  </si>
  <si>
    <t>BĂGACIU</t>
  </si>
  <si>
    <t>Alimentarea cu apă potabilă a localităţilor comunei Băgaciu</t>
  </si>
  <si>
    <t>Alimentarea cu apă potabilă a comunei Cucerdea, judeţul Mureş</t>
  </si>
  <si>
    <t>Alimentare cu apă şi canalizare</t>
  </si>
  <si>
    <t>TÎRNĂVENI</t>
  </si>
  <si>
    <t>Reabilitare reţele de apă – Tîrnăveni (înlocuire 8 km reţea distributie apă)</t>
  </si>
  <si>
    <t>Linie de tratare a apei cu ozon sau ultraviolete în Tîrnăveni</t>
  </si>
  <si>
    <t>Introducerea apei în toate satele de pe raza comunei Bahnea</t>
  </si>
  <si>
    <t>Introducerea apei potabile în cele 4 sate componente ale comunei Coroisînmărtin</t>
  </si>
  <si>
    <t xml:space="preserve">Introducere apă potabilă BORD – 5 km.;  Înlocuire reţele apă potabilă Cucerdea- lungime 7 km.;  </t>
  </si>
  <si>
    <t>Introducere apă şi canalizare</t>
  </si>
  <si>
    <t>Linie de gospodărire a nămolului la uzina de apă</t>
  </si>
  <si>
    <t>Laborator de microbiologie la uzina de apă</t>
  </si>
  <si>
    <t>Linie de tratare a apei cu cărbune activ la uzina de apă</t>
  </si>
  <si>
    <t>TOTAL Infrastructura locală - alimentare cu apă</t>
  </si>
  <si>
    <t>Prioritatea I - Infrastructura locală  - canalizare</t>
  </si>
  <si>
    <t>Construirea unei reţele de canalizare pe raza comunei Găneşti</t>
  </si>
  <si>
    <t>Sită de oţel inoxidabil la desnisipator Staţie de epurare</t>
  </si>
  <si>
    <t>Metatanc de 750 mc la Staţia de epurare</t>
  </si>
  <si>
    <t>Reabilitare staţii de pompare ape uzate (4)</t>
  </si>
  <si>
    <t>Retehnologizare Staţie de epurare</t>
  </si>
  <si>
    <t>Reabilitarea reţelelor de canalizare</t>
  </si>
  <si>
    <t>TOTAL Infrastructura locală  - canalizare</t>
  </si>
  <si>
    <t>Prioritatea I - Infrastructura locală - gaz metan</t>
  </si>
  <si>
    <t>Introducerea gazului metan în satele Daia, Idiciu, Gogan, Cund</t>
  </si>
  <si>
    <t xml:space="preserve">POS dezvoltare rurală </t>
  </si>
  <si>
    <t>TOTAL Infrastructura locală - gaz metan</t>
  </si>
  <si>
    <t>Prioritatea I - Infrastructura socială - cămine culturale</t>
  </si>
  <si>
    <t>Reparaţii capitale la căminul cultural Bahnea</t>
  </si>
  <si>
    <t>Reparaţii capitale la căminul cultural Gogan</t>
  </si>
  <si>
    <t>Edificarea unui Cămin cultural în satul Aţintiş</t>
  </si>
  <si>
    <t>Studiu de fezabilitate – “Complex Cămin Cultural Suplac”</t>
  </si>
  <si>
    <t>Complex Cultural</t>
  </si>
  <si>
    <t>TOTAL Infrastructura socială - cămine culturale</t>
  </si>
  <si>
    <t>Prioritatea I - Infrastructura locală - sedii administrative</t>
  </si>
  <si>
    <t>TOTAL Infrastructura locală - sedii administrative</t>
  </si>
  <si>
    <t>Înfiinţare compartiment UPU</t>
  </si>
  <si>
    <t>Reabilitare Pavilion neuropsihiatrie şi săli de anexe neuro psihiatrie</t>
  </si>
  <si>
    <t>Reabilitare – modernizare spălătorie</t>
  </si>
  <si>
    <t>Reabilitare – modernizare Bloc alimentar</t>
  </si>
  <si>
    <t>Reabilitare instalaţii încălzire centrală</t>
  </si>
  <si>
    <t>Reabilitare instalaţii electrice</t>
  </si>
  <si>
    <t>Reabilitare instalaţii sanitare</t>
  </si>
  <si>
    <t>TOTAL  Infrastructura socială - sănătate</t>
  </si>
  <si>
    <t>Prioritatea III - Dezvoltarea turismului</t>
  </si>
  <si>
    <t>Amenajarea Băilor de nămol  Alunei</t>
  </si>
  <si>
    <t>TOTAL Dezvoltarea turismului</t>
  </si>
  <si>
    <t>Construirea de podeţe în satele Deaj, Şomoştelnic, Abuş, Ceuaş, Hărănglab, Mica</t>
  </si>
  <si>
    <t>Pod nou peste pârâul Domald din comuna Viişoara</t>
  </si>
  <si>
    <t>Construire locuinte pentru tineri (ANL)</t>
  </si>
  <si>
    <t>Construirea unui ansamblu de locuinţe sociale</t>
  </si>
  <si>
    <t>Prioritatea IV - Dezvoltare urbană</t>
  </si>
  <si>
    <t>TOTAL Dezvoltare urbană</t>
  </si>
  <si>
    <t>Construirea unei şcoli</t>
  </si>
  <si>
    <t>Proiecte - Zona vest</t>
  </si>
  <si>
    <t xml:space="preserve">Prioritatea I - Infrastructura de transport  </t>
  </si>
  <si>
    <t>CHEŢANI</t>
  </si>
  <si>
    <t>Reabilitare drum comunal Cheţani- Grindeni, pe o porţiune de 7 km.</t>
  </si>
  <si>
    <t>OGRA</t>
  </si>
  <si>
    <t>Pietruirea şi amenajarea drumurilor comunale Ogra-Giulus,  Ogra-Lăscud, Ogra-Dileul Vechi-Vaideiu, cu un total de 19 km.</t>
  </si>
  <si>
    <t>PAPIU ILARIAN</t>
  </si>
  <si>
    <t>Reabilitare şi modernizare drum comunal din pământ, sat Merişor</t>
  </si>
  <si>
    <t xml:space="preserve">SF, PT </t>
  </si>
  <si>
    <t>Pietruirea şi modernizarea străzilor principale</t>
  </si>
  <si>
    <t>SÎNGER</t>
  </si>
  <si>
    <t>Modernizarea unor drumuri din comuna Sînger (proiect SAPARD declarat eligibil, în aşteptare pentru finanţare)</t>
  </si>
  <si>
    <t>TĂURENI</t>
  </si>
  <si>
    <t>Infrastructură drumuri şi asfaltare drumuri comunale</t>
  </si>
  <si>
    <t>BOGATA</t>
  </si>
  <si>
    <t>Reabilitarea drumului comunal DC 117 - (DN15) - 4,5 km</t>
  </si>
  <si>
    <t>Reabilitarea drumului judeţean DJ 153 E - 3 km</t>
  </si>
  <si>
    <t>Infrastructura sociala</t>
  </si>
  <si>
    <t>Lucrari de modernizare şi reparaţii la Centrele rezidenţiale pentru copiii cu deficienţe neuropsihiatrice, din comuna Ceuaşu de Câmpie</t>
  </si>
  <si>
    <t>Construirea unui complex de servicii pentru copii cu deficiente neuropsihiatrice, în Sighişoara</t>
  </si>
  <si>
    <t>Construirea şi amenajarea unui Seviciu de coordonare şi administrare a caselor de tip familial, în comuna Zau de Câmpie</t>
  </si>
  <si>
    <t>Reabilitare şi modernizarea Centrului de plasament nr.8 din Reghin</t>
  </si>
  <si>
    <t>Extinderea şi modernizarea Centrului maternal (adapost mama şi copii), de pe strada Salcâmilor, Târgu Mureş</t>
  </si>
  <si>
    <t>Dotarea cu utilităţi a Centrului de resurse pentru părinţi şi copii de pe strada Trebely, Târgu Mureş</t>
  </si>
  <si>
    <t>Modernizarea a două apartamenta pentru găzduirea tinerilor care părăsesc centrele de plasament</t>
  </si>
  <si>
    <t>Lucrări de modernizare şi reparaţii la clădirea în care se desfăşoară Serviciul de intervenţie în regim de urgenţă, în caz de abuz, neglijare, trafic; telefonul copilului</t>
  </si>
  <si>
    <t>Lucrari de modernizare şi reparaţii la Centrele rezidenţiale pentru copiii cu deficienţe neuropsihiatrice, de pe străzile: Branului, Turnu Roşu, Slatina, Strâmbă din Târgu Mureş</t>
  </si>
  <si>
    <t>Reabilitarea Centrului rezidenţial pentru copiii cu deficienţe neuropsihiatrice, de pe strada Trebely, Târgu Mureş</t>
  </si>
  <si>
    <t>Lucrari de reparaţii şi modernizare la 7 Case de tip familial în oraşul Reghin</t>
  </si>
  <si>
    <t>Pietruirea drumului public înspre Şcoala Mălăişte (sat Ranta) - 500ml</t>
  </si>
  <si>
    <t>Pietruirea unor străzi şi reabilitarea trotuarelor în satul Bogata - 2 km</t>
  </si>
  <si>
    <t xml:space="preserve">TOTAL Infrastructura de transport  </t>
  </si>
  <si>
    <t>Introducerea  apei potabile în satul Bogata</t>
  </si>
  <si>
    <t>ICLĂNZEL</t>
  </si>
  <si>
    <t>Alimentare cu apă în satele Iclănzel, Mădărăşeni, Iclandu Mare, Căpuşu de Cîmpie</t>
  </si>
  <si>
    <t>Alimentare cu apă potabilă din puţuri şi bazine a localităţii Papiu Ilarian şi Ursoaia</t>
  </si>
  <si>
    <t>Alimentare cu apă a comunei Sânger</t>
  </si>
  <si>
    <t>IERNUT</t>
  </si>
  <si>
    <t>Extinderea şi modernizarea reţelei de distribuţie a apei potabile şi modernizarea Staţiei de tratare în oraşul Iernut</t>
  </si>
  <si>
    <t>Reabilitarea sistemelor de alimentare cu apă</t>
  </si>
  <si>
    <t>Extindere reţea de alimentare cu apă strada Câmpului</t>
  </si>
  <si>
    <t>CUCI</t>
  </si>
  <si>
    <t>Alimentarea cu apă potabilă şi realizarea unei reţele de canalizare a apei în comuna Cuci, Satele Cuci, Orsoia, Dătăşeni şi Petrilaca, şi a unei staţii de epurare a apei</t>
  </si>
  <si>
    <t>Montarea pompelor de distribuţie la uzina de apă din Cipău staţia Ogra</t>
  </si>
  <si>
    <t>Terminarea lucrărilor de subtraversare a conductei de alimentare pe sub şoseaua naţională E60</t>
  </si>
  <si>
    <t>Terminarea lucrărilor de aducţiune între uzina de apă Cipău şi staţia Ogra</t>
  </si>
  <si>
    <t>Construire reţele de alimentare cu apă şi/sau canalizare în satele aparţinătoare ( Cipău, Deag, Lechinţa, Sălcud, Oarba de Mureş, Sf. Gheorghe)</t>
  </si>
  <si>
    <t>Modernizare Staţii de pompare şi repompare a apei potabile</t>
  </si>
  <si>
    <t>Extinderea reţelei de apă Avrămeşti</t>
  </si>
  <si>
    <t>TOTAL  Infrastructura locală - alimentare cu apă</t>
  </si>
  <si>
    <t>Prioritatea I - Infrastructura locală - canalizare</t>
  </si>
  <si>
    <t>Executarea lucrărilor de canalizare şi a Staţiei de epurare a localităţii Ogra – reşedinţa comunei</t>
  </si>
  <si>
    <t>LUDUŞ</t>
  </si>
  <si>
    <t>Extindere canalizare menajeră - Canalizare Luduş Est</t>
  </si>
  <si>
    <t>PT în curs</t>
  </si>
  <si>
    <t>Canalizare menajeră strada Policlinicii</t>
  </si>
  <si>
    <t>Canalizare menajeră Gheja</t>
  </si>
  <si>
    <t>Construire staţii de epurare necesare satelor</t>
  </si>
  <si>
    <t>Extinderea şi modernizarea Staţiei de epurare</t>
  </si>
  <si>
    <t>Canalizare menajeră Roşiori</t>
  </si>
  <si>
    <t>TOTAL Infrastructura locală - canalizare</t>
  </si>
  <si>
    <t>Prioritatea I - Infrastructura socială - camine culturale</t>
  </si>
  <si>
    <t>Investiţie cămin cultural finalizare obiectiv</t>
  </si>
  <si>
    <t>Construirea unei bucătării şi grup sanitar la Căminul Cultural</t>
  </si>
  <si>
    <t>TOTAL Infrastructura socială - camine culturale</t>
  </si>
  <si>
    <t>Prioritatea I - Infrastructura locală - iluminat public</t>
  </si>
  <si>
    <t>Extinderea reţelei de energie electrică la cele 4 familii din satul Ranta</t>
  </si>
  <si>
    <t>TOTAL Infrastructura locală - iluminat public</t>
  </si>
  <si>
    <t>Amenajarea unor puncte sanitare pentru medicii de familie, în satele  componente ale comunei: Giulus, Lăscud, Dileul Vechi şi Vaideiu</t>
  </si>
  <si>
    <t>SPITALUL LUDUŞ</t>
  </si>
  <si>
    <t>Extindere Spital Orăşenesc Luduş</t>
  </si>
  <si>
    <t>Transformarea clădirii Centrului de plasament în spital</t>
  </si>
  <si>
    <t>Realizarea unui centru de primire urgenţe în aceeaşi locaţie cu noul Spital</t>
  </si>
  <si>
    <t>Consolidarea clădirii secţiei Interne cu un grad avansat de uzură şi vulnerabilitate la cutremure</t>
  </si>
  <si>
    <t>Dotarea cu echipamente medicale de strictă necesitate</t>
  </si>
  <si>
    <t xml:space="preserve">Modernizarea Ambulatoriului de specialitate prin reparaţie capitală, modernizare </t>
  </si>
  <si>
    <t>Construirea unui pod de beton armat peste râul Mureş, pe DC 126 Band-Ogra</t>
  </si>
  <si>
    <t>Cămin deversor cu clapetă</t>
  </si>
  <si>
    <t>Reabilitare pod peste Mureş</t>
  </si>
  <si>
    <t>Expertiză Tehnică</t>
  </si>
  <si>
    <t>Amenajare strada Policlinicii</t>
  </si>
  <si>
    <t>Modernizare  străzi Cartier Luduş-Est</t>
  </si>
  <si>
    <t>Asfaltare străzi în localitatea Iernut şi satele aparţinătoare</t>
  </si>
  <si>
    <t>Construire  drumuri şi trotuare în cartier Mihai Eminescu Nou</t>
  </si>
  <si>
    <t>Reabilitarea străzilor din localitatea Iernut (Dacia Traiană, A. Iancu, Libertăţii, Drum Sălcud)</t>
  </si>
  <si>
    <t>Consolidarea malului drept al râului Mureş în zona Gării CFR - 150 ml</t>
  </si>
  <si>
    <t>Finalizarea lucrării de decolmatare a părâului Valea Rănţii</t>
  </si>
  <si>
    <t>TOTAL Dezvoltarea durabilă a localităţilor</t>
  </si>
  <si>
    <t xml:space="preserve">IERNUT </t>
  </si>
  <si>
    <t>Instalaţii sanitare şi încălzire centrală  la gradiniţa din str Gh. Doja nr 8</t>
  </si>
  <si>
    <t>Reparaţii interioare şi exterioare la Şcolile de pe raza administrativ - teritorială</t>
  </si>
  <si>
    <t>Construirea unui imobil cu destinaţie de Grădiniţă în localitatea Ogra</t>
  </si>
  <si>
    <t>Introducere apă potabilă  în şcolile de pe raza comunei</t>
  </si>
  <si>
    <t>Reparaţii şcoli</t>
  </si>
  <si>
    <t>Centre de tranzit Tg.Mures pentru tinerii proveniţi din Centrul de Plasament nr. 5 Luduş</t>
  </si>
  <si>
    <t>POR  M 1.2</t>
  </si>
  <si>
    <t>Proiecte - Zona nord-vest (câmpie)</t>
  </si>
  <si>
    <t>BAND</t>
  </si>
  <si>
    <t>Pietruire drumuri (Cartierul rromilor)</t>
  </si>
  <si>
    <t>GREBENISU DE CÎMPIE</t>
  </si>
  <si>
    <t>Pietruire drum comunal Leorinta</t>
  </si>
  <si>
    <t>RÎCIU</t>
  </si>
  <si>
    <t>Reparaţii şi pietruire drumuri comunale</t>
  </si>
  <si>
    <t>SÎNPETRU DE CÎMPIE</t>
  </si>
  <si>
    <t>Pietruire drum sătesc Tuşin –Hulă – cătun”</t>
  </si>
  <si>
    <t>Modernizare drum comunal DC 108 Tuşinu</t>
  </si>
  <si>
    <t>Modernizare DC108, DJ152 – Tuşin, KM 0+000 ¸ 3+000</t>
  </si>
  <si>
    <t>ŞINCAI</t>
  </si>
  <si>
    <t>Modernizare drum Şincai-Fînaţele Mădăraşului</t>
  </si>
  <si>
    <t>ZAU DE CÎMPIE</t>
  </si>
  <si>
    <t xml:space="preserve">Pietruire drum Barbosi-Birza-Sînger – pe 2 km. </t>
  </si>
  <si>
    <t>MĂDĂRAŞ</t>
  </si>
  <si>
    <t xml:space="preserve">Pietruirea drumului în comuna Mădăraş şi asfaltarea acestora precum şi a drumurilor de legătură cu comunele învecinate </t>
  </si>
  <si>
    <t>VALEA LARGĂ</t>
  </si>
  <si>
    <t>Modernizare 5 km de drum</t>
  </si>
  <si>
    <t>Prioritatea I - Sisteme de canalizare</t>
  </si>
  <si>
    <t>Prioritatea I  - Infrastructură tehnico-edilitara - Gaze naturale</t>
  </si>
  <si>
    <t>TOTAL Sisteme de canalizare</t>
  </si>
  <si>
    <t>TOTAL Proiecte Infrastructură tehnico-edilitara - Gaze naturale</t>
  </si>
  <si>
    <t>Prioritatea I - Infrastructura de educaţie</t>
  </si>
  <si>
    <t>TOTAL Proiecte Infrastructura de educaţie</t>
  </si>
  <si>
    <t>Pietruire 10 km de drum de pământ</t>
  </si>
  <si>
    <t xml:space="preserve">TOTAL  Infrastructura de transport </t>
  </si>
  <si>
    <t>BĂLA</t>
  </si>
  <si>
    <t>Reabilitarea şi extinderea reţelei de distribuţie a apei potabile în localităţile comunei Băla</t>
  </si>
  <si>
    <t>CRĂIEŞTI</t>
  </si>
  <si>
    <t>Introducerea apei potabile în sistem centralizat în comuna Crăieşti</t>
  </si>
  <si>
    <t>GREBENIŞU DE CÂMPIE</t>
  </si>
  <si>
    <t>Introducere apă potabilă în comuna Grebenişu de Cîmpie</t>
  </si>
  <si>
    <t>POGĂCEAUA</t>
  </si>
  <si>
    <t>Introducerea apei potabile în satul Văleni</t>
  </si>
  <si>
    <t>SĂRMAŞU</t>
  </si>
  <si>
    <t>Alimentare cu apă prin captarea subterană a localităţii Vişinelu</t>
  </si>
  <si>
    <t>Extindere alimentare cu apă a localităţilor Balda, Sărmaşu, Sărmăţelu, Sărmăşel Gară (pe magistrela Luduş-Tăureni-Zau-Miheşu-Sărmaşu)</t>
  </si>
  <si>
    <t>Reabilitarea şi Extinderea reţelei de apă în comuna Şincai</t>
  </si>
  <si>
    <t>Introducere apa potabila în comuna Valea Largă</t>
  </si>
  <si>
    <t>Reabilitare/modernizare conductă magistrală de aducţiune apă potabilă Pogăceaua - Sărmaşu</t>
  </si>
  <si>
    <t>Extindere reţea de alimentare cu apă</t>
  </si>
  <si>
    <t>Alimentarea cu apă a comunei</t>
  </si>
  <si>
    <t>MIHEŞU DE CÎMPIE</t>
  </si>
  <si>
    <t xml:space="preserve">Reţea de alimentare cu apă în Miheşu de Cîmpie şi Răzoare </t>
  </si>
  <si>
    <t>Introducere apă în comuna Sînpetru de Cîmpie</t>
  </si>
  <si>
    <t>ŞĂULIA</t>
  </si>
  <si>
    <t>Alimentare cu apă în sistem centralizat în comuna Şăulia</t>
  </si>
  <si>
    <t>Introducerea apei potabile în celelalte  satele din comună</t>
  </si>
  <si>
    <t>Canalizare centralizată în comuna Band</t>
  </si>
  <si>
    <t>Canalizare şi epurarea apei uzate în localitatea Rîciu</t>
  </si>
  <si>
    <t>Extindere canalizare în localitatea Sărmaşu şi extindere capacitate Staţie de Epurare Sărmaşu</t>
  </si>
  <si>
    <t>Efectuarea canalizării şi staţie epurare a apelor uzate Băla şi Ercea</t>
  </si>
  <si>
    <t>Efectuarea sistemului de canalizare pentru eliminarea apei şi reziduurilor menajere</t>
  </si>
  <si>
    <t>GREBENIŞU DE CÎMPIE</t>
  </si>
  <si>
    <t>Canalizare în comuna Grebeniş</t>
  </si>
  <si>
    <t>Canalizare menajeră</t>
  </si>
  <si>
    <t>Executarea investiţiei de canalizare în satul Miheşu de Cîmpie şi Răzoare şi a  unei staţii de epurare a apei uzate care să fie comună pentru satul Miheşu de Cîmpie şi Răzoare</t>
  </si>
  <si>
    <t>TOTAL  Infrastructura locală - canalizare</t>
  </si>
  <si>
    <t>Prioritatea I - Infrastructura locală - gaze naturale</t>
  </si>
  <si>
    <t>Înfiinţare distribuţie gaze naturale cu presiune redusă în comuna Rîciu (satul Ulieş)</t>
  </si>
  <si>
    <t>TOTAL Infrastructura locală - gaze naturale</t>
  </si>
  <si>
    <t>Prioritatea I - Infrastructură locală - cămine culturale</t>
  </si>
  <si>
    <t>Construcţie cămin cultural</t>
  </si>
  <si>
    <t>Construirea unui cămin cultural</t>
  </si>
  <si>
    <t>Edificarea unui cămin cultural</t>
  </si>
  <si>
    <t>Modernizare/extindere cămin cultural pentu comunitatea locală</t>
  </si>
  <si>
    <t>Reparaţii capitale la căminele culturale din Sărmăşel Gară, Sărmaşu, Vişinelu</t>
  </si>
  <si>
    <t>Repararea şi reabilitarea clădirii "Cinema" şi transformarea în Casă de Cultură</t>
  </si>
  <si>
    <t>TOTAL Infrastructură locală - cămine culturale</t>
  </si>
  <si>
    <t>Dotari lift clinica ortopedie II Mihai Viteazul nr 31</t>
  </si>
  <si>
    <t>TOTAL GENERAL</t>
  </si>
  <si>
    <t>Prioritatea I - Infrastructură locală - sedii administrative</t>
  </si>
  <si>
    <t>Sediu administrativ şi complex cultural</t>
  </si>
  <si>
    <t>Edificarea unui nou sediu administrativ</t>
  </si>
  <si>
    <t>Modernizarea şi extinderea sediului administraţiei publice locale</t>
  </si>
  <si>
    <t>SF în lucru</t>
  </si>
  <si>
    <t>TOTAL Infrastructură locală - sedii administrative</t>
  </si>
  <si>
    <t>Introducere curent electric în localitatea Nima  Milăşelului</t>
  </si>
  <si>
    <t xml:space="preserve">MIHEŞU DE CÎMPIE  </t>
  </si>
  <si>
    <t>Electrificarea satului Cirhagău şi Strada Lăpuş din Miheşu de Cîmpie</t>
  </si>
  <si>
    <t>În domeniul distribuţiei energiei electrice se va urmări mărirea posturilor de transformare în funcţie de solicitări (Padure)</t>
  </si>
  <si>
    <t>Construire capelă mortuară Sărmaşu</t>
  </si>
  <si>
    <t>Construirea unui dispensar uman</t>
  </si>
  <si>
    <t>Reabilitare, modernizare şi dotare cu aparatură medicală</t>
  </si>
  <si>
    <t>TOTAL  Infrastructură socială - sănătate</t>
  </si>
  <si>
    <t>Prioritatea I - Infrastructura locală - deşeuri</t>
  </si>
  <si>
    <t>Infiinţarea unei staţii de transfer deşeuri menajere pentru deservirea a 11 localităţi din judeţul Mureş</t>
  </si>
  <si>
    <t>Amplasarea unei gropi ecologice de depozitare a deşeurilor menajere şi a unui cimitir ecologic de animale în extravilanul comunei(PHARE)</t>
  </si>
  <si>
    <t>Construirea unui depozit ecologice în satul Zau de Cîmpie</t>
  </si>
  <si>
    <t>Staţie de transfer deşeuri menajere pentru zona de Cîmpie (asociere Sărmaşu cu 10 comune de pe Cîmpie)</t>
  </si>
  <si>
    <t>TOTAL Infrastructura locală - deşeuri</t>
  </si>
  <si>
    <t>Prioritatea I -  Infrastructura locală - construcţii săli de sport</t>
  </si>
  <si>
    <t>Edificarea unei Săli de sport în satul Band</t>
  </si>
  <si>
    <t>TOTAL  Infrastructura locală - construcţii săli de sport</t>
  </si>
  <si>
    <t>MĂDARAS</t>
  </si>
  <si>
    <t>Dezvoltarea turismului</t>
  </si>
  <si>
    <t>Construcţie pod Moara de apă</t>
  </si>
  <si>
    <t>Construire locuinţe pentru tineri (ANL)</t>
  </si>
  <si>
    <t>Consolidare DJ 151 între km 38+520 până la km 30+718 (alunecare teren)</t>
  </si>
  <si>
    <t>POR M 1.1</t>
  </si>
  <si>
    <t>Reabilitarea iluminatului public stradal</t>
  </si>
  <si>
    <t>Asfaltări şi prelucrări drumuri orăşeneşti şi comunale</t>
  </si>
  <si>
    <t>Extindere reţele electrice în zonele neelectrificate</t>
  </si>
  <si>
    <t>Construire, reparare trotuare beton şi trotuare pavaj pietonal</t>
  </si>
  <si>
    <t>Decolmatarea cursurilor de apă principale (Pârâul de Cîmpie, Pârâul Frăţii din Vişinelu şi Pârâul Titiana)</t>
  </si>
  <si>
    <t>Modernizare piaţă de zi oraş Sărmaşu şi hala agroalimentară</t>
  </si>
  <si>
    <t>Modernizarea clădirii Gimnaziului de Stat Gheorghe Şincai - Rîciu</t>
  </si>
  <si>
    <t>Construire centru de asistenţă şi protecţie socială a persoanelor cu probleme sociale şi a unei mănăstiri</t>
  </si>
  <si>
    <t>Nr. crt.</t>
  </si>
  <si>
    <t>Localitate</t>
  </si>
  <si>
    <t>Grad de maturitate</t>
  </si>
  <si>
    <t>Propunere</t>
  </si>
  <si>
    <t>SF</t>
  </si>
  <si>
    <t>SPF</t>
  </si>
  <si>
    <t>propunere</t>
  </si>
  <si>
    <t>Construcţie retea de canalizare</t>
  </si>
  <si>
    <t>Construcţie Statie de epurare</t>
  </si>
  <si>
    <t>POR M 1.2</t>
  </si>
  <si>
    <t>POS dezvoltare rurală</t>
  </si>
  <si>
    <t>POS mediu</t>
  </si>
  <si>
    <t>POR M 4</t>
  </si>
  <si>
    <t>Valoare                           ( mii €)</t>
  </si>
  <si>
    <t>Denumire proiect</t>
  </si>
  <si>
    <t>Încadrarea în Programele Operaţionale</t>
  </si>
  <si>
    <t>Proiecte - Zona est</t>
  </si>
  <si>
    <t>Prioritatea I - Infrastructura de transport - drumuri</t>
  </si>
  <si>
    <t>BĂLĂUŞERI</t>
  </si>
  <si>
    <t>Modernizare DC61 Bălăuşeri (DJ142) – Agrişteu – Senereuş, KM 0+000 ¸ 9+500</t>
  </si>
  <si>
    <t>BERENI</t>
  </si>
  <si>
    <t>Reabilitare drum comunal Bereni-Bâra-Mărculeni-limita com. Eremitu</t>
  </si>
  <si>
    <t>CHIBED</t>
  </si>
  <si>
    <t>Reabilitare străzi în zonele locuite de populaţia de etnie rromă</t>
  </si>
  <si>
    <t>EREMITU</t>
  </si>
  <si>
    <t>Modernizarea străzii „Döngö”, în comuna Eremitu</t>
  </si>
  <si>
    <t>Modernizarea DC 27 şi străzi din localitatea Eremitu</t>
  </si>
  <si>
    <t>GĂLEŞTI</t>
  </si>
  <si>
    <t>Modernizare drum comunal Troiţa-Bedeni</t>
  </si>
  <si>
    <t>GHINDARI</t>
  </si>
  <si>
    <t>Modernizarea a 10 km. drumuri , DC 45 Ghindari-Solocma, limita judeţ Harghita (prin SAPARD)</t>
  </si>
  <si>
    <t>HODOŞA</t>
  </si>
  <si>
    <t>Modernizare drumuri comunale</t>
  </si>
  <si>
    <t>MĂGHERANI</t>
  </si>
  <si>
    <t>Pietruire drum de legătură DJ 135 Măgherani</t>
  </si>
  <si>
    <t>NEAUA</t>
  </si>
  <si>
    <t>Reabilitare şi îmbrăcăminte uşoară pentru drumul comunal DC 36 Neaua-Ghindeşti (5 120m)</t>
  </si>
  <si>
    <t>VĂRGATA</t>
  </si>
  <si>
    <t>Modernizare DC "Szilomar utja"</t>
  </si>
  <si>
    <t>Modernizare DC Vărgata-Grîuşor şi Vărgata-Vadu</t>
  </si>
  <si>
    <t>PĂSĂRENI</t>
  </si>
  <si>
    <t>Modernizare DC42 Păsăreni (DJ151D) – Gălăţeni, KM 0+000 ¸ 3+000 şi DC40 DJ151D (Păsăreni) – Bolintineni, KM 0+000 ¸ 0+500</t>
  </si>
  <si>
    <t>Pietruirea drumuliu de expoatare Şilea Nirajului - Vârful dealului Bekecs - Biserica romano-catolică (punct turistic propus)</t>
  </si>
  <si>
    <t>Asfaltarea drumului comunal Măgherani-Torba</t>
  </si>
  <si>
    <t>TOTAL Infrastructura de transport - drumuri</t>
  </si>
  <si>
    <t>Prioritatea I - Utilităţi - alimentare cu apă</t>
  </si>
  <si>
    <t>Contribuţie la sistem de alimentare cu apă potabilă-canalizare în Microregiunea Valea Nirajului</t>
  </si>
  <si>
    <t>FÎNTÎNELE</t>
  </si>
  <si>
    <t>Verificarea şi dezvoltarea reţelei de distribuţie a apei potabile în comuna Fîntănele</t>
  </si>
  <si>
    <t>SOVATA</t>
  </si>
  <si>
    <t>Extinderea şi modernizarea reţelei de distribuţie a apei potabile şi modernizarea Staţiei de tratare în oraşul Sovata</t>
  </si>
  <si>
    <t>SÎNGEORGIU DE PĂDURE</t>
  </si>
  <si>
    <t>Extinderea şi modernizarea reţelei de distribuţie a apei potabile şi modernizarea Staţiei de tratare în oraşul Sîngeorgiu de Pădure</t>
  </si>
  <si>
    <t>MICROREGIUNEA VALEA NIRAJULUI</t>
  </si>
  <si>
    <t>Proiect apă-canalizare, Microregiunea Valea Nirajului</t>
  </si>
  <si>
    <t>Dezvoltarea reţelei de apă în Chibed</t>
  </si>
  <si>
    <t>Introducere apă potabilă în Hodoşa</t>
  </si>
  <si>
    <t>MIERCUREA NIRAJULUI</t>
  </si>
  <si>
    <t>Staţie de tratare apă şi alimentare cu apă potabilă</t>
  </si>
  <si>
    <t>Introducerea apei în şcolile din comuna Neaua</t>
  </si>
  <si>
    <t>TOTAL Utilităţi - alimentare cu apă</t>
  </si>
  <si>
    <t>Canalizare menajeră şi staţie de epurare</t>
  </si>
  <si>
    <t>Reabilitare şi extindere reţea de canalizare a localităţii Fîntînele   şi realizarea staţiei de epurare a apei uzate</t>
  </si>
  <si>
    <t xml:space="preserve">Construirea reţelei de canalizare a localităţii Ghindari </t>
  </si>
  <si>
    <t xml:space="preserve">Contribuţie la Microregiune Valea Nirajului, apă-canalizare </t>
  </si>
  <si>
    <t>Canalizare menajeră şi staţie de epurare în Miercurea Nirajului</t>
  </si>
  <si>
    <t>Extindere şi modernizare Statie de epurare</t>
  </si>
  <si>
    <t>Extinderea canalizării</t>
  </si>
  <si>
    <t>TOTAL Utilităţi - canalizare</t>
  </si>
  <si>
    <t>Infiinţare distribuţie gaze naturale cu presiune redusă în com. Bereni (satele: Bereni, Bîra, Drojdii, Eremieni, Maia, Mărculeni, Cîndu)</t>
  </si>
  <si>
    <t>PT, SF</t>
  </si>
  <si>
    <t>Racord, SRMP şi reţea de distribuţie gaze naturale în comuna Eremitu (satele: Eremitu, Mătrici, Dămieni, Călugăreni )</t>
  </si>
  <si>
    <t>Alimentare cu gaze naturale, comuna Hodoşa (satele: Hodoşa, Ihod, Sîmbriaş, Isla)</t>
  </si>
  <si>
    <t>Infiinţare distribuţie gaze naturale cu presiune redusă în comuna Măgherani (satele:Măgherani, Şilea Nirajului, Torba)</t>
  </si>
  <si>
    <t>Modernizarea şi repararea sediului primăriei</t>
  </si>
  <si>
    <t>Modernizare şi dezvoltare iluminat public</t>
  </si>
  <si>
    <t>Realizarea iluminatului public în toate localităţile comunei</t>
  </si>
  <si>
    <t>Extindere iluminat public</t>
  </si>
  <si>
    <t>Refacere  reţea de iluminat public din comună</t>
  </si>
  <si>
    <t xml:space="preserve">Prioritatea III - Dezvoltarea turismului </t>
  </si>
  <si>
    <t>Zonă de agrement în jurul Lacului Bezid</t>
  </si>
  <si>
    <t>Consolidare pod mixt peste râul Târnava Mică</t>
  </si>
  <si>
    <t>Pod peste pârâul “Peres” din localitatea Călugăreni, de DC  27, comuna Eremitu</t>
  </si>
  <si>
    <t>Construire pasarelă pe Nirajul Mare-Dumitreşti-Tîmpa</t>
  </si>
  <si>
    <t>Contruire pod pe Nirajul Mic la Sîntandrei</t>
  </si>
  <si>
    <t>Construire pod pe râul Niraj între str. Pompierilor şi str. Plopilor</t>
  </si>
  <si>
    <t>Prioritatea IV - Dezvoltarea localităţilor - construcţii locuinţe pentru tineri</t>
  </si>
  <si>
    <t>Construirea de apartamente pentru tineri (ANL)</t>
  </si>
  <si>
    <t>TOTAL Dezvoltarea localităţilor - construcţii locuinţe pentru tineri</t>
  </si>
  <si>
    <t>Prioritatea I - Infrastructura socială - sănătate</t>
  </si>
  <si>
    <t>Centru Medical Multifuncţional Bereni</t>
  </si>
  <si>
    <t>Cămin pentru persoane vârstnice Măgherani</t>
  </si>
  <si>
    <t>Centru de îngrijire medico-social Niraj  (fonduri MIE)</t>
  </si>
  <si>
    <t>Dotare ,,Centru de îngrijire Medico-Social Niraj” cu bunuri specifice</t>
  </si>
  <si>
    <t>Extinderea ,, Centru de îngrijire Medico-Social Niraj,, cu un ,,Centru de îngrijire pentru persoanele vârstnice”</t>
  </si>
  <si>
    <t>Extindere ,,Centru de îngrijire medicală şi asistenţă socială la domiciliu"</t>
  </si>
  <si>
    <t>Reabilitarea şi etajarea clădirii compartimentului Pediatrie</t>
  </si>
  <si>
    <t>Reabilitarea clădirii Obstetrică-ginecologie</t>
  </si>
  <si>
    <t>Reabilitarea clădirilor anexe</t>
  </si>
  <si>
    <t>Dotare cu echipamente</t>
  </si>
  <si>
    <t>Modernizare utilitare</t>
  </si>
  <si>
    <t>TOTAL Infrastructura socială - sănătate</t>
  </si>
  <si>
    <t>Centru de sănătate Miercurea Nirajului- Reabilitare şi modernizare corpul de clădire al spitalului vechi</t>
  </si>
  <si>
    <t>Centru de îngrijire medico-social Niraj, dotări</t>
  </si>
  <si>
    <t>Introducerea gazului metan în satele Moşuni, Beu şi Veţa</t>
  </si>
  <si>
    <t>Reabilitarea şi modernizarea sediului Primăriei</t>
  </si>
  <si>
    <t>Reamenajarea şi mansardarea acoperişului Căminului cultural Miercurea Nirajului</t>
  </si>
  <si>
    <t>Modernizarea, reabilitarea şi schimbarea de destinaţie la internatul şcolar Miercurea Nirajului</t>
  </si>
  <si>
    <t>Reabilitarea sălii de gimnastică " Şcoala Generală"</t>
  </si>
  <si>
    <t>Plan de amenajare şi sistematizare, amenajarea şi extinderea utilităţilor,dotarea Sălii de sport de la Grupul Şcolar Miercurea Nirajului</t>
  </si>
  <si>
    <t>Construirea unui pod  peste râul Nirajul Mare într str. Pompierilor şi str. Plopilor</t>
  </si>
  <si>
    <t xml:space="preserve">Reabilitare şi modernizare DC 37 – Dumitreşti </t>
  </si>
  <si>
    <t>Reabilitare şi modernizare drumuri forestiere cca. 7,5 km</t>
  </si>
  <si>
    <t>Reabilitarea şi modernizarea clădirii cabinetelor de medic de familie - 4 buc</t>
  </si>
  <si>
    <t>Reabilitarea şi modernizarea clădirii fostei Maternităţi</t>
  </si>
  <si>
    <t>Mansardarea blocurilor în vederea extinderii fondului locativ pentru atribuirea familiilor tinere</t>
  </si>
  <si>
    <t>Finalizarea clădirii administrative a pieţei şi extinderea acoperirii spaţiilor destinate comerţului</t>
  </si>
  <si>
    <t>Casă mortuară Miercurea Nirajului</t>
  </si>
  <si>
    <t>Reabilitarea Bisericii catolice din satul Beu</t>
  </si>
  <si>
    <t>Reabilitarea fostei săli de cinema</t>
  </si>
  <si>
    <t>Reabilitare şi modernizare Centru Didactic şi Administrativ</t>
  </si>
  <si>
    <t>Reabilitare şi extindere Grădiniţă şi Şcoală Primară Str. Sântana</t>
  </si>
  <si>
    <t>Reabilitarea Şcolii Generale Şradu Nirajului</t>
  </si>
  <si>
    <t>Reabilitarea şi extinderea Grădiniţei şi Şcolii Primare str. Sântandrei</t>
  </si>
  <si>
    <t>SPITAL MUNICIPAL</t>
  </si>
  <si>
    <t>TOTAL - Dezvoltarea durabilă a localităţilor - mediul urban</t>
  </si>
  <si>
    <t>Reabilitarea şi extinderea Şcolii Generale M. Nirajului clădirea B str. Teilor</t>
  </si>
  <si>
    <t>Două laboratoare de informatică la Şcoala Generală Miercurea Nirajului şi Şcoala Generală Şradu Nirajului</t>
  </si>
  <si>
    <t>Modernizarea bibliotecii şcolare</t>
  </si>
  <si>
    <t>Sistem centralizat de încălzire la Grupul Şcolar, Şcoala Generală, Grădiniţa cu program prelungit şi normal Miercurea Nirajului</t>
  </si>
  <si>
    <t>Finalizarea grupului sanitar canalizat la Grupul Şcolar</t>
  </si>
  <si>
    <t>Asigurarea apei potabile la Grupul Şcolar, Şcoala Generală Miercurea Nirajului şi Şardu Nirajului prin montarea instalaţiilor de apă</t>
  </si>
  <si>
    <t>Reabilitarea, modernizarea şi extinderea clădirilor cu 4 clase noi la Şcoala Generală str. Teilor</t>
  </si>
  <si>
    <t>Prag de stabilizare în aval de barajul Valea, amenajarea unei zone de agrement şi staţie de apă pentru Microregiune, proiectare</t>
  </si>
  <si>
    <t>Construirea unui pod pe Nirajul Mic la Sântandrei</t>
  </si>
  <si>
    <t>Construirea unei pasarele pe Nirajul -Dumitreşti-Tâmpa</t>
  </si>
  <si>
    <t>Pavarea parcului central</t>
  </si>
  <si>
    <t>inclus în PUZ</t>
  </si>
  <si>
    <t>Varianta de ocolire-Centura municipiului Târgu Mureş pentru devierea traficului pe relaţia SE-NE</t>
  </si>
  <si>
    <t>Extinderea reţelei de iluminat public în municipiul Târgu Mureş</t>
  </si>
  <si>
    <t>Acoperire pârâul Poklos, Târgu Mureş</t>
  </si>
  <si>
    <t>Ansamblu de locuinţe "Belvedere", Târgu Mureş</t>
  </si>
  <si>
    <t>Amenajare zona centrală, Târgu Mureş</t>
  </si>
  <si>
    <t>Extindere Calea Sighişoarei</t>
  </si>
  <si>
    <t>Zonă tehnologică- Centru de expoziţii, târguri, centru european de comunicări şi comercial</t>
  </si>
  <si>
    <t>POR M 2.1</t>
  </si>
  <si>
    <t>Reabilitarea Complexului Cetatea Medievală Târgu Mureş</t>
  </si>
  <si>
    <t>Tehnologie de compactare- ambalare a deşeurilor urbane în municipiul Târgu Mureş</t>
  </si>
  <si>
    <t>Studiu de oportunitate</t>
  </si>
  <si>
    <t>Amenajare pltformă pentru instalaţia de compactare şi ambalare deşeuri Târgu Mureş</t>
  </si>
  <si>
    <t>POR M 4.2</t>
  </si>
  <si>
    <t>Reabilitare drumuri de pământ</t>
  </si>
  <si>
    <t>SPF în lucru</t>
  </si>
  <si>
    <t>Modernizare cămin spital</t>
  </si>
  <si>
    <t>Reabilitarea termică a clădirilor aparţinând Consiliului Local municipal Târgu Mureş</t>
  </si>
  <si>
    <t>POR  M 4</t>
  </si>
  <si>
    <t>Reabilitare poduri şi podeţe</t>
  </si>
  <si>
    <t>Cadastru imobiliar - edilitar pentru municipiu şi Zona Metropolitană</t>
  </si>
  <si>
    <t>Reabilitarea termică a clădirilor din municipiul Târgu Mureş</t>
  </si>
  <si>
    <t>Pod de beton pe canalul Veţca str. Sântana Niraj- Dumitreşti</t>
  </si>
  <si>
    <t>Pietruirea a 20 de străzi orăşeneşti şi 30 de uliţe săteşti</t>
  </si>
  <si>
    <t>Reabilitare şi modernizare DC 24 A Moşuni-Beu-Veţa</t>
  </si>
  <si>
    <t>Modernizare drumuri locale</t>
  </si>
  <si>
    <t>Amenajare groapă de gunoi</t>
  </si>
  <si>
    <t>Amenajare piaţă agro-alimentară</t>
  </si>
  <si>
    <t>Reînfiinţarea trecerii la nivel cu calea ferată</t>
  </si>
  <si>
    <t>Stabilizarea albiei Nirajului Mic</t>
  </si>
  <si>
    <t>Stabilizare versant Şilea Nirajului</t>
  </si>
  <si>
    <t>Amenajare zone umede Măgherani</t>
  </si>
  <si>
    <t>Casă de oaspeţi</t>
  </si>
  <si>
    <t>Îmbunătăţirea situaţiei rromilor</t>
  </si>
  <si>
    <t>Organizarea de servicii comunitare pentru situaţii de urgenţă</t>
  </si>
  <si>
    <t>Curăţire decolmatare curs apă</t>
  </si>
  <si>
    <t>Construire cămin cultural în localitatea Chendu</t>
  </si>
  <si>
    <t>Reparaţii curente interioare şi exterioare la Căminele culturale Găleşti şi Troiţa</t>
  </si>
  <si>
    <t>Reparare camine culturale din satele Vadas şi Ghinesti</t>
  </si>
  <si>
    <t>Reamenajare si mansardare acoperiş Cămin cultural Miercurea Niraj</t>
  </si>
  <si>
    <t>Reabilitare şi modernizare Cămin Cultural Rigmani</t>
  </si>
  <si>
    <t>Reabilitare şi modernizare Cămin Cultural Neaua</t>
  </si>
  <si>
    <t>Program de reabilitare al căminelor culturale</t>
  </si>
  <si>
    <t>Construire sală de sport tip B</t>
  </si>
  <si>
    <t>Intoducerea apei potabile-canalizare şi amenajare punct sanitar în şcolile din comuna Bereni</t>
  </si>
  <si>
    <t>POR M 1.3</t>
  </si>
  <si>
    <t>Reparaţii curente interioare şi exterioare la Şcoala Generală Găleşti şi Troiţa</t>
  </si>
  <si>
    <t>Construire Şcoală Generală I-IV şi Grădiniţă Sânvăsii</t>
  </si>
  <si>
    <t>Reabilitarea  şi extinderea clădirii Grupului şcolar Miercurea Nirajului</t>
  </si>
  <si>
    <t>Reabilitare si extindere Şcoala Generală Miercurea Nirajului</t>
  </si>
  <si>
    <t>Reabilitare internat scolar Miercurea Nirajului</t>
  </si>
  <si>
    <t>Reabilitare si extindere gradiniţă</t>
  </si>
  <si>
    <t>Reabilitare acoperiş Şcoala Generală Rigmani</t>
  </si>
  <si>
    <t>Reabilitare acoperiş Şcoala Generală Ghineşti</t>
  </si>
  <si>
    <t>Construirea unei grădiniţe în satul Valea</t>
  </si>
  <si>
    <t>Modernizare spatiu Centru Cultural, Didactic si Informaţional</t>
  </si>
  <si>
    <t xml:space="preserve">Reabilitarea şi modernizarea clădirilor: Şcoala Generală Păsăreni, Grădiniţa Păsăreni, Şcoala Generală Gălăţeni, Şcoala Generală Bolintineni, </t>
  </si>
  <si>
    <t>Asigurarea confortului termic prin introducerea  încălzirii centrale la Şcoala Generală Păsăreni şi la cea din Gălăţeni</t>
  </si>
  <si>
    <t>Noi spaţii de învăţământ la Gr. Şc. Sângeorgiu de Pădure</t>
  </si>
  <si>
    <t xml:space="preserve">TOTAL Dezvoltarea turismului </t>
  </si>
  <si>
    <t>Prioritatea I - Infrastructura socială - construcţii săli de sport</t>
  </si>
  <si>
    <t>TOTAL Infrastructura socială - construcţii săli de sport</t>
  </si>
  <si>
    <t>Proiecte - Zona metropolitană</t>
  </si>
  <si>
    <t>Încadrarea în Programele Operationale</t>
  </si>
  <si>
    <t>Prioritatea I - Infrastructura de transport</t>
  </si>
  <si>
    <t>CRISTEŞTI</t>
  </si>
  <si>
    <t>Tratament asfaltic pe străzile Cimitirului, Sportului, Florilor, Cooperativei, Gostatului, Aleea Blocurilor 4000 ml</t>
  </si>
  <si>
    <t>Asfaltarea străzii Viilor 800 ml</t>
  </si>
  <si>
    <t>Asfaltarea străzii Şcolii 600 ml</t>
  </si>
  <si>
    <t>PĂNET</t>
  </si>
  <si>
    <t>Asfaltare DC 125</t>
  </si>
  <si>
    <t>ACĂŢARI</t>
  </si>
  <si>
    <t>Modernizarea DC 41 Murgeşti – Roteni (proiect declarat eligibil prin SAPARD)</t>
  </si>
  <si>
    <t xml:space="preserve">Pietruirea unor străzi din satul Acăţari </t>
  </si>
  <si>
    <t>Modernizarea DC 68A Văleni-Gruişor şi DC 41 Văleni-Roteni</t>
  </si>
  <si>
    <t>CORUNCA</t>
  </si>
  <si>
    <t>Pietruirea unor drumuri din localitatea Corunca</t>
  </si>
  <si>
    <t>ERNEI</t>
  </si>
  <si>
    <t>Pietruirea unor străzi din localitatea Săcăreni</t>
  </si>
  <si>
    <t>SF, PT</t>
  </si>
  <si>
    <t xml:space="preserve">Pietruirea şi închiderea cu tratament bitumoasă a drumului comunal DC 21 DJ 153 (Icland) Săcăreni km 0+000 2+500 </t>
  </si>
  <si>
    <t>GHEORGHE DOJA</t>
  </si>
  <si>
    <t xml:space="preserve">Modernizarea drumului comunal DC68 –proiect SAPARD </t>
  </si>
  <si>
    <t>Pietruirea străzilor din comuna Gheorghe Doja prin programul Strategia de îmbunătăţire a situaţiei rromilor – proiect depus la programul Phare</t>
  </si>
  <si>
    <t>TOTAL Infrastructura de transport</t>
  </si>
  <si>
    <t>Prag de fund şi apărare de mal la podul din Valea (în amonte)</t>
  </si>
  <si>
    <t>Prag de fund şi apărare de mal la podul din Vărgata (în amonte)</t>
  </si>
  <si>
    <t>Apărare de mal zona Fabrica de lapte Vărgata</t>
  </si>
  <si>
    <t>Apărare de mal zona Teren da sport Vărgata</t>
  </si>
  <si>
    <t>Reabilitare teren de sport Valea</t>
  </si>
  <si>
    <t>Reabilitare teren de sport Vărgata</t>
  </si>
  <si>
    <t>Reconstruirea podului peste râul Istand</t>
  </si>
  <si>
    <t>Construirea unui nou sediu administrativ</t>
  </si>
  <si>
    <t>Reconstruire cămin cultural Vărgata</t>
  </si>
  <si>
    <t>Reabilitare şi modernizare cămin cultural Valea</t>
  </si>
  <si>
    <t>Reabilitare cămin cultural Vadu</t>
  </si>
  <si>
    <t>Reabilitare cămin cultural Grâuşor</t>
  </si>
  <si>
    <t>Reabilitare şi modernizare cămin cultural Mitreşti</t>
  </si>
  <si>
    <t>Reabilitarea şi modernizare Şcoala Generală Vărgata</t>
  </si>
  <si>
    <t>POR M 1.4</t>
  </si>
  <si>
    <t>Reabilitarea şi modernizarea instituţiilor de învăţământ din comună</t>
  </si>
  <si>
    <t>Construirea unui pod la Grâuşor  şi  a trei pasarele peste Nirej (la Vărgata, Valea, Mitreşti)</t>
  </si>
  <si>
    <t>Regularizarea râului Nirej în amonte de barajul Valea</t>
  </si>
  <si>
    <t>Reconstruire Şcoala Generală Valea</t>
  </si>
  <si>
    <t>Renovarea şi modernizarea dispensarului uman Vărgata</t>
  </si>
  <si>
    <t>Renovarea clădirii TeleCentrului</t>
  </si>
  <si>
    <t>Sistem alimentare cu apă în comuna Vărgata</t>
  </si>
  <si>
    <t>Sistem canalizare în comuna Vărgata</t>
  </si>
  <si>
    <t>Introducere gaz în satul Grâuşor</t>
  </si>
  <si>
    <t>Construire azil de bătrâni</t>
  </si>
  <si>
    <t>Prioritatea I  - Alimentare cu apă</t>
  </si>
  <si>
    <t xml:space="preserve">CORUNCA </t>
  </si>
  <si>
    <t>Alimentarea cu apă potabilă a localităţii Corunca</t>
  </si>
  <si>
    <t>Executarea lucrărilor de alimentare cu apă   potabilă a satului Vălureni, comuna Cristeşti</t>
  </si>
  <si>
    <t xml:space="preserve">Alimentare cu apă a comunei Corunca </t>
  </si>
  <si>
    <t>Alimentare cu apă a localităţii Ernei</t>
  </si>
  <si>
    <t>LIVEZENI</t>
  </si>
  <si>
    <t>Alimentare cu apă sate: Livezeni, Ivăneşti, Sinişor, Poieniţa</t>
  </si>
  <si>
    <t>CEUAŞU DE CÂMPIE</t>
  </si>
  <si>
    <t>Introducere apă potabila Porumbeni, Herghelia, Sabed</t>
  </si>
  <si>
    <t>TOTAL Alimentare cu apă</t>
  </si>
  <si>
    <t xml:space="preserve">Canalizarea apelor uzate menajere şi industriale din comuna Corunca </t>
  </si>
  <si>
    <t xml:space="preserve">Extinderea reţelei de canalizare în localitatea Cristeşti </t>
  </si>
  <si>
    <t>Canalizarea localităţilor Ernei şi Dumbrăvioara</t>
  </si>
  <si>
    <t>Reţea de canalizare mrnajeră magistrală pentru comuna Livezeni</t>
  </si>
  <si>
    <t xml:space="preserve">Canalizare menajeră </t>
  </si>
  <si>
    <t>SÎNCRAIU DE MUREŞ</t>
  </si>
  <si>
    <t>din care cu SF</t>
  </si>
  <si>
    <t xml:space="preserve"> din care cu SF</t>
  </si>
  <si>
    <t>Proiecte ale Consiliului Judeţean Mureş</t>
  </si>
  <si>
    <t>Reabilitarea şi extinderea  canalizarii menajere în Sîngeorgiu de Mureş</t>
  </si>
  <si>
    <t>UNGHENI</t>
  </si>
  <si>
    <t>Extinderea retea de canalizare şi modernizare Statie de epurare</t>
  </si>
  <si>
    <t>Înfiinţare reţele de canalizare</t>
  </si>
  <si>
    <t>Construire Staţie de epurare</t>
  </si>
  <si>
    <t>Extindere şi reabilitare Staţie de epurare</t>
  </si>
  <si>
    <t>SÎNPAUL</t>
  </si>
  <si>
    <t>TÎRGU MUREŞ</t>
  </si>
  <si>
    <t>Infiinţare distribuţie gaze naturale cu presiune redusă în comuna Ernei (satul Săcăreni)</t>
  </si>
  <si>
    <t>Prioritatea I - Infrastructură socială - cămine culturale</t>
  </si>
  <si>
    <t>1</t>
  </si>
  <si>
    <t>Extinderea şi modernizarea căminelor culturale</t>
  </si>
  <si>
    <t>Construirea unui Cămin Cultural având în vedere faptul că acesta funcţionează într-o clădire retrocedată Bisericii Reformate</t>
  </si>
  <si>
    <t>CEUAŞU DE CÎMPIE</t>
  </si>
  <si>
    <t>Construirea unui cămin cultural - locaţia Herghelia</t>
  </si>
  <si>
    <t>Dotarea căminelor culturale existente în comună</t>
  </si>
  <si>
    <t>Program de reabilitare a căminelor culturale</t>
  </si>
  <si>
    <t>TOTAL Infrastructură socială - cămine culturale</t>
  </si>
  <si>
    <t>Prioritatea I - Infrastructură socială - sedii administrative</t>
  </si>
  <si>
    <t xml:space="preserve">Reparaţii  acoperiş - sediu administrativ </t>
  </si>
  <si>
    <t xml:space="preserve">Reparaţii capitale şi extindere cămin cultural </t>
  </si>
  <si>
    <t>PT în execuţie</t>
  </si>
  <si>
    <t>PT lucrare începută</t>
  </si>
  <si>
    <t>Construire Casa prieteniei- casa de cultură în localitatea Satu Nou</t>
  </si>
  <si>
    <t>GHEORGE DOJA</t>
  </si>
  <si>
    <t>Construire pod peste pârâul Tirimia în localitatea Tirimia</t>
  </si>
  <si>
    <t>Construire pod peste pârâul Tirimia în localitatea Leordeni</t>
  </si>
  <si>
    <t>Mansardare primărie</t>
  </si>
  <si>
    <t>PT în curs de elaborare</t>
  </si>
  <si>
    <t>Reparaţie exterioară capitală la sediul primăriei</t>
  </si>
  <si>
    <t>Supraetajarea clădirii Primăriei</t>
  </si>
  <si>
    <t>Mansardarea sediului administrativ în vederea creării spaţiilor necesare desfăşurării activităţii</t>
  </si>
  <si>
    <t>Construire sediu primărie</t>
  </si>
  <si>
    <t>TOTAL Infrastructură socială - sedii administrative</t>
  </si>
  <si>
    <t>Repararea şi renovarea orgi din Sala mare a Palatului Culturii</t>
  </si>
  <si>
    <t>Reabilitarea clădirii Bibliotecii Teleki</t>
  </si>
  <si>
    <t>Reabilitarea Bibliotecii Judeţene Mureş, aripa Palatului Culturii</t>
  </si>
  <si>
    <t>Restaurarea clădirilor muzeului de etnografie (Palatul Tholdalaghi)</t>
  </si>
  <si>
    <t>Extinderea Muzeului de Ştiinţe ale Naturii şi a Muzeului de Istorie</t>
  </si>
  <si>
    <t>Amenajarea "Muzeului Satului Judeţean" în aer liber</t>
  </si>
  <si>
    <t>Restaurarea şi conservarea cetăţii din comuna Gurghiu</t>
  </si>
  <si>
    <t>SF în curs de elaborare</t>
  </si>
  <si>
    <t>Restaurarea şi rebilitarea clădirii centrale din cetatea Târgu Mureş/ Crearea unui muzeu interactiv</t>
  </si>
  <si>
    <t>Prioritatea I - Infrastructură socială - sănătate</t>
  </si>
  <si>
    <t>Modernizare Clinică- Gh.   Marinescu nr 3</t>
  </si>
  <si>
    <t>Reparaţii Clinica de pneumo-fiziologie Gh. Marinescu nr.5</t>
  </si>
  <si>
    <t>Reparaţii Clinica ORL Gh.   Marinescu nr 34</t>
  </si>
  <si>
    <t>Reparaţii şi modernizare Clinica neuropsihiatrie pediatrica- str. Panselutelor nr. 5</t>
  </si>
  <si>
    <t>Reparaţii şi modernizare Clinica neuropsihiatrie pediatrica- str. Panselutelor nr. 6</t>
  </si>
  <si>
    <t>Reparaţii şi modernizare Clinica obstetrica ginecologie II- str. Koteles Samuel nr.29</t>
  </si>
  <si>
    <t>TîRNĂVENI</t>
  </si>
  <si>
    <t>Modernizare drum comunal DC 80 cuprins între localitatea aparţinătoare Custelnic şi Tîrnăveni</t>
  </si>
  <si>
    <t xml:space="preserve">                                                                         din care cu SF</t>
  </si>
  <si>
    <t>propuneri</t>
  </si>
  <si>
    <t>Modernizare drum de interes local DC 140 comuna Şincai</t>
  </si>
  <si>
    <t>Total proiecte zona est din care:</t>
  </si>
  <si>
    <t>Total proiecte zona nord din care</t>
  </si>
  <si>
    <t>Total proiecte zona sud din care:</t>
  </si>
  <si>
    <t>Total proiecte zona sud- vest din care</t>
  </si>
  <si>
    <t>Total proiecte zona vest din care</t>
  </si>
  <si>
    <t>Total proiecte zona nord-vest (câmpie) din care</t>
  </si>
  <si>
    <t>Reparaţii şi modernizare Clinica neonatologie B-dul 1848 nr. 24</t>
  </si>
  <si>
    <t>Reparaţii şi construcţii Ambulator de specialitate POLI II -str. B-dul  1dec. 1918 nr.26</t>
  </si>
  <si>
    <t>Dotari lift-clinica urologie,chirurgie III-IV,medicala IV</t>
  </si>
  <si>
    <t>Dotare cu lift de alimente medicala III    Revolutiei 33-35</t>
  </si>
  <si>
    <t>Reabilitarea infrastructurii serviciilor de sanatate(cladiri si echipamente)</t>
  </si>
  <si>
    <t>Prioritatea I - Deşeuri</t>
  </si>
  <si>
    <t>SÎNGEORGIU DE MUREŞ</t>
  </si>
  <si>
    <t>Colectarea selectivă a deşeurilor şi echipamente tehnologice</t>
  </si>
  <si>
    <t>TOTAL Proiecte deşeuri</t>
  </si>
  <si>
    <t>Prioritatea I - Infrastructură socială - săli de sport</t>
  </si>
  <si>
    <t xml:space="preserve">Consiliul Judeţean Mureş </t>
  </si>
  <si>
    <t>POS Mediu</t>
  </si>
  <si>
    <t>POR M  4.1</t>
  </si>
  <si>
    <t>Edificarea  unei săli de sport</t>
  </si>
  <si>
    <t>Construirea unei săli de sport</t>
  </si>
  <si>
    <t>Construirea unei săli de sport pe lângă Şcoala generală Cristeşti</t>
  </si>
  <si>
    <t>TOTAL Infrastructură socială - săli de sport</t>
  </si>
  <si>
    <t>Prioritatea III - Proiecte turism</t>
  </si>
  <si>
    <t>Iniţiative în domeniul  turismului rural</t>
  </si>
  <si>
    <t xml:space="preserve"> </t>
  </si>
  <si>
    <t>POR M 3</t>
  </si>
  <si>
    <t>Modernizarea, reamenajarea spaţiilor publice de agrement – Platoul Corneşti</t>
  </si>
  <si>
    <t>TOTAL Proiecte turism</t>
  </si>
  <si>
    <t>Construirea de blocuri de locuinţe pentru tineret -ANL</t>
  </si>
  <si>
    <t>Construirea locuinţelor sociale pentru rromi</t>
  </si>
  <si>
    <t>Prioritatea IV - Alte proiecte</t>
  </si>
  <si>
    <t>Amenajarea Parcului Central</t>
  </si>
  <si>
    <t>Reabilitarea trotuarelor din comună</t>
  </si>
  <si>
    <t>Achiziţionarea unui buldoexcavator pentru lucrări de infrastructură</t>
  </si>
  <si>
    <t>TOTAL Alte proiecte</t>
  </si>
  <si>
    <t>Înfiinţarea unui Punct de informare documentară la Şcoala Generală Acăţari</t>
  </si>
  <si>
    <t>Reparaţii exteriore şi igienizare la şcoala şi grădiniţa din Vălureni</t>
  </si>
  <si>
    <t>Reparaţii exterioare grădiniţa din Cristeşti</t>
  </si>
  <si>
    <t xml:space="preserve">Extindere şi modificare interior Şcoala Generală Livezeni </t>
  </si>
  <si>
    <t>Extindere şcoală generală cu 12 săli de clasă (etapa I+II)</t>
  </si>
  <si>
    <t>Centura de deviere a traficului de tranzit între DN13 –DJ135</t>
  </si>
  <si>
    <t>Total proiecte zona metropolitană</t>
  </si>
  <si>
    <t>Modernizarea iluminatului public în toate localităţile comunei</t>
  </si>
  <si>
    <t>Sistem de canalizare pentru eliminarea apei şi reziduurilor menajere</t>
  </si>
  <si>
    <t>Reabilitarea şi modernizarea Şcolii din localitatea Lechincioara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</si>
</sst>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0\ [$€-1]"/>
    <numFmt numFmtId="186" formatCode="0.0"/>
    <numFmt numFmtId="187" formatCode="#,##0.0"/>
    <numFmt numFmtId="188" formatCode="#,##0\ &quot;lei&quot;"/>
    <numFmt numFmtId="189" formatCode="#,##0.000"/>
    <numFmt numFmtId="190" formatCode="0.00000"/>
    <numFmt numFmtId="191" formatCode="0.0000"/>
    <numFmt numFmtId="192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5" fillId="0" borderId="5" xfId="0" applyNumberFormat="1" applyFont="1" applyBorder="1" applyAlignment="1">
      <alignment horizontal="center" vertical="justify" wrapText="1"/>
    </xf>
    <xf numFmtId="0" fontId="5" fillId="0" borderId="1" xfId="0" applyNumberFormat="1" applyFont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justify"/>
    </xf>
    <xf numFmtId="0" fontId="4" fillId="0" borderId="5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justify" vertical="justify" wrapText="1"/>
    </xf>
    <xf numFmtId="4" fontId="3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justify" vertical="justify" wrapText="1"/>
    </xf>
    <xf numFmtId="4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justify"/>
    </xf>
    <xf numFmtId="0" fontId="4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justify"/>
    </xf>
    <xf numFmtId="0" fontId="4" fillId="0" borderId="11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justify" vertical="justify" wrapText="1"/>
    </xf>
    <xf numFmtId="0" fontId="4" fillId="0" borderId="1" xfId="0" applyNumberFormat="1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" fontId="3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justify"/>
    </xf>
    <xf numFmtId="0" fontId="3" fillId="0" borderId="13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justify" vertical="top" wrapText="1"/>
    </xf>
    <xf numFmtId="0" fontId="4" fillId="0" borderId="5" xfId="0" applyFont="1" applyBorder="1" applyAlignment="1">
      <alignment/>
    </xf>
    <xf numFmtId="4" fontId="4" fillId="0" borderId="2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3" fillId="0" borderId="1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" fontId="4" fillId="0" borderId="8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8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justify"/>
    </xf>
    <xf numFmtId="0" fontId="4" fillId="0" borderId="5" xfId="0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3" fillId="0" borderId="4" xfId="0" applyFont="1" applyBorder="1" applyAlignment="1">
      <alignment/>
    </xf>
    <xf numFmtId="49" fontId="4" fillId="0" borderId="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right" vertical="justify" wrapText="1"/>
    </xf>
    <xf numFmtId="0" fontId="4" fillId="0" borderId="1" xfId="0" applyFont="1" applyBorder="1" applyAlignment="1">
      <alignment horizontal="center" vertical="justify" wrapText="1"/>
    </xf>
    <xf numFmtId="4" fontId="4" fillId="0" borderId="1" xfId="0" applyNumberFormat="1" applyFont="1" applyBorder="1" applyAlignment="1">
      <alignment horizontal="right" vertical="justify" wrapText="1"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justify" vertical="justify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justify"/>
    </xf>
    <xf numFmtId="0" fontId="3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justify" wrapText="1"/>
    </xf>
    <xf numFmtId="0" fontId="4" fillId="0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justify" wrapText="1"/>
    </xf>
    <xf numFmtId="0" fontId="4" fillId="0" borderId="19" xfId="0" applyFont="1" applyBorder="1" applyAlignment="1">
      <alignment horizontal="justify" vertical="justify"/>
    </xf>
    <xf numFmtId="0" fontId="3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1" fontId="3" fillId="0" borderId="2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" fontId="3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4" fontId="3" fillId="0" borderId="13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justify"/>
    </xf>
    <xf numFmtId="49" fontId="4" fillId="0" borderId="8" xfId="0" applyNumberFormat="1" applyFont="1" applyBorder="1" applyAlignment="1">
      <alignment horizontal="center" vertical="justify"/>
    </xf>
    <xf numFmtId="49" fontId="4" fillId="0" borderId="5" xfId="0" applyNumberFormat="1" applyFont="1" applyBorder="1" applyAlignment="1">
      <alignment horizontal="center" vertical="justify"/>
    </xf>
    <xf numFmtId="0" fontId="4" fillId="0" borderId="4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4" fontId="3" fillId="0" borderId="13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0" fontId="3" fillId="0" borderId="6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6" xfId="0" applyFont="1" applyBorder="1" applyAlignment="1">
      <alignment horizontal="left" vertical="justify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justify"/>
    </xf>
    <xf numFmtId="0" fontId="4" fillId="0" borderId="5" xfId="0" applyFont="1" applyBorder="1" applyAlignment="1">
      <alignment horizontal="justify" vertical="justify"/>
    </xf>
    <xf numFmtId="0" fontId="3" fillId="0" borderId="13" xfId="0" applyFont="1" applyBorder="1" applyAlignment="1">
      <alignment horizontal="left" vertical="justify"/>
    </xf>
    <xf numFmtId="0" fontId="3" fillId="0" borderId="4" xfId="0" applyFont="1" applyBorder="1" applyAlignment="1">
      <alignment horizontal="center" vertical="justify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justify" vertical="justify" wrapText="1"/>
    </xf>
    <xf numFmtId="0" fontId="4" fillId="0" borderId="5" xfId="0" applyNumberFormat="1" applyFont="1" applyBorder="1" applyAlignment="1">
      <alignment horizontal="justify" vertical="justify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justify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203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203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458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>
          <a:off x="6410325" y="698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9525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698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9172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43" name="Line 43"/>
        <xdr:cNvSpPr>
          <a:spLocks/>
        </xdr:cNvSpPr>
      </xdr:nvSpPr>
      <xdr:spPr>
        <a:xfrm>
          <a:off x="314325" y="9172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" y="9172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314325" y="9172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6" name="Line 46"/>
        <xdr:cNvSpPr>
          <a:spLocks/>
        </xdr:cNvSpPr>
      </xdr:nvSpPr>
      <xdr:spPr>
        <a:xfrm>
          <a:off x="6410325" y="15411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0</xdr:rowOff>
    </xdr:from>
    <xdr:to>
      <xdr:col>0</xdr:col>
      <xdr:colOff>314325</xdr:colOff>
      <xdr:row>71</xdr:row>
      <xdr:rowOff>0</xdr:rowOff>
    </xdr:to>
    <xdr:sp>
      <xdr:nvSpPr>
        <xdr:cNvPr id="47" name="Line 47"/>
        <xdr:cNvSpPr>
          <a:spLocks/>
        </xdr:cNvSpPr>
      </xdr:nvSpPr>
      <xdr:spPr>
        <a:xfrm>
          <a:off x="314325" y="15411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71</xdr:row>
      <xdr:rowOff>0</xdr:rowOff>
    </xdr:from>
    <xdr:to>
      <xdr:col>1</xdr:col>
      <xdr:colOff>9525</xdr:colOff>
      <xdr:row>71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" y="15411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76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276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439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439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9" name="Line 39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40" name="Line 40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6276975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9525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43" name="Line 43"/>
        <xdr:cNvSpPr>
          <a:spLocks/>
        </xdr:cNvSpPr>
      </xdr:nvSpPr>
      <xdr:spPr>
        <a:xfrm>
          <a:off x="323850" y="1079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42</xdr:row>
      <xdr:rowOff>0</xdr:rowOff>
    </xdr:from>
    <xdr:to>
      <xdr:col>0</xdr:col>
      <xdr:colOff>295275</xdr:colOff>
      <xdr:row>42</xdr:row>
      <xdr:rowOff>0</xdr:rowOff>
    </xdr:to>
    <xdr:sp>
      <xdr:nvSpPr>
        <xdr:cNvPr id="44" name="Line 44"/>
        <xdr:cNvSpPr>
          <a:spLocks/>
        </xdr:cNvSpPr>
      </xdr:nvSpPr>
      <xdr:spPr>
        <a:xfrm>
          <a:off x="314325" y="1079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323850" y="1079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42</xdr:row>
      <xdr:rowOff>0</xdr:rowOff>
    </xdr:from>
    <xdr:to>
      <xdr:col>0</xdr:col>
      <xdr:colOff>295275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>
          <a:off x="314325" y="1079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47" name="Line 47"/>
        <xdr:cNvSpPr>
          <a:spLocks/>
        </xdr:cNvSpPr>
      </xdr:nvSpPr>
      <xdr:spPr>
        <a:xfrm>
          <a:off x="323850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49</xdr:row>
      <xdr:rowOff>0</xdr:rowOff>
    </xdr:from>
    <xdr:to>
      <xdr:col>0</xdr:col>
      <xdr:colOff>295275</xdr:colOff>
      <xdr:row>49</xdr:row>
      <xdr:rowOff>0</xdr:rowOff>
    </xdr:to>
    <xdr:sp>
      <xdr:nvSpPr>
        <xdr:cNvPr id="48" name="Line 48"/>
        <xdr:cNvSpPr>
          <a:spLocks/>
        </xdr:cNvSpPr>
      </xdr:nvSpPr>
      <xdr:spPr>
        <a:xfrm>
          <a:off x="314325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49" name="Line 49"/>
        <xdr:cNvSpPr>
          <a:spLocks/>
        </xdr:cNvSpPr>
      </xdr:nvSpPr>
      <xdr:spPr>
        <a:xfrm>
          <a:off x="323850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49</xdr:row>
      <xdr:rowOff>0</xdr:rowOff>
    </xdr:from>
    <xdr:to>
      <xdr:col>0</xdr:col>
      <xdr:colOff>295275</xdr:colOff>
      <xdr:row>49</xdr:row>
      <xdr:rowOff>0</xdr:rowOff>
    </xdr:to>
    <xdr:sp>
      <xdr:nvSpPr>
        <xdr:cNvPr id="50" name="Line 50"/>
        <xdr:cNvSpPr>
          <a:spLocks/>
        </xdr:cNvSpPr>
      </xdr:nvSpPr>
      <xdr:spPr>
        <a:xfrm>
          <a:off x="314325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493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493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3" name="Line 33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6" name="Line 36"/>
        <xdr:cNvSpPr>
          <a:spLocks/>
        </xdr:cNvSpPr>
      </xdr:nvSpPr>
      <xdr:spPr>
        <a:xfrm>
          <a:off x="5543550" y="1566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9525</xdr:colOff>
      <xdr:row>57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1566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8" name="Line 38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1</xdr:col>
      <xdr:colOff>9525</xdr:colOff>
      <xdr:row>84</xdr:row>
      <xdr:rowOff>0</xdr:rowOff>
    </xdr:to>
    <xdr:sp>
      <xdr:nvSpPr>
        <xdr:cNvPr id="40" name="Line 40"/>
        <xdr:cNvSpPr>
          <a:spLocks/>
        </xdr:cNvSpPr>
      </xdr:nvSpPr>
      <xdr:spPr>
        <a:xfrm>
          <a:off x="323850" y="2275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0</xdr:rowOff>
    </xdr:from>
    <xdr:to>
      <xdr:col>0</xdr:col>
      <xdr:colOff>295275</xdr:colOff>
      <xdr:row>84</xdr:row>
      <xdr:rowOff>0</xdr:rowOff>
    </xdr:to>
    <xdr:sp>
      <xdr:nvSpPr>
        <xdr:cNvPr id="41" name="Line 41"/>
        <xdr:cNvSpPr>
          <a:spLocks/>
        </xdr:cNvSpPr>
      </xdr:nvSpPr>
      <xdr:spPr>
        <a:xfrm>
          <a:off x="314325" y="2275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1</xdr:col>
      <xdr:colOff>9525</xdr:colOff>
      <xdr:row>84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2275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84</xdr:row>
      <xdr:rowOff>0</xdr:rowOff>
    </xdr:from>
    <xdr:to>
      <xdr:col>1</xdr:col>
      <xdr:colOff>9525</xdr:colOff>
      <xdr:row>84</xdr:row>
      <xdr:rowOff>0</xdr:rowOff>
    </xdr:to>
    <xdr:sp>
      <xdr:nvSpPr>
        <xdr:cNvPr id="43" name="Line 43"/>
        <xdr:cNvSpPr>
          <a:spLocks/>
        </xdr:cNvSpPr>
      </xdr:nvSpPr>
      <xdr:spPr>
        <a:xfrm>
          <a:off x="342900" y="2275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2771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5638800" y="607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607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698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3" name="Line 33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4" name="Line 34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899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36" name="Line 36"/>
        <xdr:cNvSpPr>
          <a:spLocks/>
        </xdr:cNvSpPr>
      </xdr:nvSpPr>
      <xdr:spPr>
        <a:xfrm>
          <a:off x="314325" y="899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899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>
          <a:off x="314325" y="899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800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800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457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457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6" name="Line 36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7" name="Line 37"/>
        <xdr:cNvSpPr>
          <a:spLocks/>
        </xdr:cNvSpPr>
      </xdr:nvSpPr>
      <xdr:spPr>
        <a:xfrm>
          <a:off x="5800725" y="843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843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1207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51</xdr:row>
      <xdr:rowOff>0</xdr:rowOff>
    </xdr:from>
    <xdr:to>
      <xdr:col>0</xdr:col>
      <xdr:colOff>295275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314325" y="1207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1207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76200</xdr:rowOff>
    </xdr:from>
    <xdr:to>
      <xdr:col>1</xdr:col>
      <xdr:colOff>9525</xdr:colOff>
      <xdr:row>51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342900" y="12153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6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4762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4762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476250" y="258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476250" y="258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1" name="Line 31"/>
        <xdr:cNvSpPr>
          <a:spLocks/>
        </xdr:cNvSpPr>
      </xdr:nvSpPr>
      <xdr:spPr>
        <a:xfrm>
          <a:off x="4762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2" name="Line 32"/>
        <xdr:cNvSpPr>
          <a:spLocks/>
        </xdr:cNvSpPr>
      </xdr:nvSpPr>
      <xdr:spPr>
        <a:xfrm>
          <a:off x="4762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>
          <a:off x="6057900" y="69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34" name="Line 34"/>
        <xdr:cNvSpPr>
          <a:spLocks/>
        </xdr:cNvSpPr>
      </xdr:nvSpPr>
      <xdr:spPr>
        <a:xfrm>
          <a:off x="476250" y="69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466725" y="11277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41</xdr:row>
      <xdr:rowOff>0</xdr:rowOff>
    </xdr:from>
    <xdr:to>
      <xdr:col>0</xdr:col>
      <xdr:colOff>295275</xdr:colOff>
      <xdr:row>41</xdr:row>
      <xdr:rowOff>0</xdr:rowOff>
    </xdr:to>
    <xdr:sp>
      <xdr:nvSpPr>
        <xdr:cNvPr id="36" name="Line 36"/>
        <xdr:cNvSpPr>
          <a:spLocks/>
        </xdr:cNvSpPr>
      </xdr:nvSpPr>
      <xdr:spPr>
        <a:xfrm>
          <a:off x="438150" y="1093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104775</xdr:rowOff>
    </xdr:from>
    <xdr:to>
      <xdr:col>1</xdr:col>
      <xdr:colOff>0</xdr:colOff>
      <xdr:row>43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466725" y="11401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41</xdr:row>
      <xdr:rowOff>0</xdr:rowOff>
    </xdr:from>
    <xdr:to>
      <xdr:col>0</xdr:col>
      <xdr:colOff>295275</xdr:colOff>
      <xdr:row>41</xdr:row>
      <xdr:rowOff>0</xdr:rowOff>
    </xdr:to>
    <xdr:sp>
      <xdr:nvSpPr>
        <xdr:cNvPr id="38" name="Line 38"/>
        <xdr:cNvSpPr>
          <a:spLocks/>
        </xdr:cNvSpPr>
      </xdr:nvSpPr>
      <xdr:spPr>
        <a:xfrm>
          <a:off x="438150" y="1093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5705475" y="1170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1170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0</xdr:rowOff>
    </xdr:from>
    <xdr:to>
      <xdr:col>0</xdr:col>
      <xdr:colOff>295275</xdr:colOff>
      <xdr:row>70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0</xdr:rowOff>
    </xdr:from>
    <xdr:to>
      <xdr:col>0</xdr:col>
      <xdr:colOff>295275</xdr:colOff>
      <xdr:row>70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0</xdr:rowOff>
    </xdr:from>
    <xdr:to>
      <xdr:col>0</xdr:col>
      <xdr:colOff>295275</xdr:colOff>
      <xdr:row>70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1</xdr:col>
      <xdr:colOff>9525</xdr:colOff>
      <xdr:row>70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1663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7" name="Line 17"/>
        <xdr:cNvSpPr>
          <a:spLocks/>
        </xdr:cNvSpPr>
      </xdr:nvSpPr>
      <xdr:spPr>
        <a:xfrm>
          <a:off x="5705475" y="1827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0</xdr:rowOff>
    </xdr:from>
    <xdr:to>
      <xdr:col>0</xdr:col>
      <xdr:colOff>314325</xdr:colOff>
      <xdr:row>77</xdr:row>
      <xdr:rowOff>0</xdr:rowOff>
    </xdr:to>
    <xdr:sp>
      <xdr:nvSpPr>
        <xdr:cNvPr id="18" name="Line 18"/>
        <xdr:cNvSpPr>
          <a:spLocks/>
        </xdr:cNvSpPr>
      </xdr:nvSpPr>
      <xdr:spPr>
        <a:xfrm>
          <a:off x="314325" y="1827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77</xdr:row>
      <xdr:rowOff>0</xdr:rowOff>
    </xdr:from>
    <xdr:to>
      <xdr:col>1</xdr:col>
      <xdr:colOff>9525</xdr:colOff>
      <xdr:row>77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1827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15325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9525</xdr:colOff>
      <xdr:row>85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2012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1</xdr:col>
      <xdr:colOff>9525</xdr:colOff>
      <xdr:row>91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21783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95</xdr:row>
      <xdr:rowOff>0</xdr:rowOff>
    </xdr:from>
    <xdr:to>
      <xdr:col>1</xdr:col>
      <xdr:colOff>9525</xdr:colOff>
      <xdr:row>95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22536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2" name="Line 32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9525</xdr:colOff>
      <xdr:row>88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20688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2943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2943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9" name="Line 39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40" name="Line 40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515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2" name="Line 42"/>
        <xdr:cNvSpPr>
          <a:spLocks/>
        </xdr:cNvSpPr>
      </xdr:nvSpPr>
      <xdr:spPr>
        <a:xfrm>
          <a:off x="5705475" y="7877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" name="Line 43"/>
        <xdr:cNvSpPr>
          <a:spLocks/>
        </xdr:cNvSpPr>
      </xdr:nvSpPr>
      <xdr:spPr>
        <a:xfrm>
          <a:off x="323850" y="7877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314325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46" name="Line 46"/>
        <xdr:cNvSpPr>
          <a:spLocks/>
        </xdr:cNvSpPr>
      </xdr:nvSpPr>
      <xdr:spPr>
        <a:xfrm>
          <a:off x="323850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295275</xdr:colOff>
      <xdr:row>40</xdr:row>
      <xdr:rowOff>0</xdr:rowOff>
    </xdr:to>
    <xdr:sp>
      <xdr:nvSpPr>
        <xdr:cNvPr id="47" name="Line 47"/>
        <xdr:cNvSpPr>
          <a:spLocks/>
        </xdr:cNvSpPr>
      </xdr:nvSpPr>
      <xdr:spPr>
        <a:xfrm>
          <a:off x="314325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" y="10620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45</xdr:row>
      <xdr:rowOff>0</xdr:rowOff>
    </xdr:from>
    <xdr:to>
      <xdr:col>0</xdr:col>
      <xdr:colOff>295275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14325" y="10620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50" name="Line 50"/>
        <xdr:cNvSpPr>
          <a:spLocks/>
        </xdr:cNvSpPr>
      </xdr:nvSpPr>
      <xdr:spPr>
        <a:xfrm>
          <a:off x="323850" y="10620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47625</xdr:rowOff>
    </xdr:from>
    <xdr:to>
      <xdr:col>0</xdr:col>
      <xdr:colOff>295275</xdr:colOff>
      <xdr:row>45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314325" y="1066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96</xdr:row>
      <xdr:rowOff>0</xdr:rowOff>
    </xdr:from>
    <xdr:to>
      <xdr:col>1</xdr:col>
      <xdr:colOff>9525</xdr:colOff>
      <xdr:row>96</xdr:row>
      <xdr:rowOff>0</xdr:rowOff>
    </xdr:to>
    <xdr:sp>
      <xdr:nvSpPr>
        <xdr:cNvPr id="52" name="Line 52"/>
        <xdr:cNvSpPr>
          <a:spLocks/>
        </xdr:cNvSpPr>
      </xdr:nvSpPr>
      <xdr:spPr>
        <a:xfrm>
          <a:off x="323850" y="2271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96</xdr:row>
      <xdr:rowOff>0</xdr:rowOff>
    </xdr:from>
    <xdr:to>
      <xdr:col>1</xdr:col>
      <xdr:colOff>9525</xdr:colOff>
      <xdr:row>96</xdr:row>
      <xdr:rowOff>0</xdr:rowOff>
    </xdr:to>
    <xdr:sp>
      <xdr:nvSpPr>
        <xdr:cNvPr id="53" name="Line 53"/>
        <xdr:cNvSpPr>
          <a:spLocks/>
        </xdr:cNvSpPr>
      </xdr:nvSpPr>
      <xdr:spPr>
        <a:xfrm>
          <a:off x="323850" y="2271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1</xdr:col>
      <xdr:colOff>9525</xdr:colOff>
      <xdr:row>137</xdr:row>
      <xdr:rowOff>0</xdr:rowOff>
    </xdr:to>
    <xdr:sp>
      <xdr:nvSpPr>
        <xdr:cNvPr id="54" name="Line 54"/>
        <xdr:cNvSpPr>
          <a:spLocks/>
        </xdr:cNvSpPr>
      </xdr:nvSpPr>
      <xdr:spPr>
        <a:xfrm>
          <a:off x="323850" y="3231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238125</xdr:rowOff>
    </xdr:from>
    <xdr:to>
      <xdr:col>1</xdr:col>
      <xdr:colOff>9525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23850" y="600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view="pageBreakPreview" zoomScaleSheetLayoutView="100" workbookViewId="0" topLeftCell="A114">
      <selection activeCell="A133" sqref="A133"/>
    </sheetView>
  </sheetViews>
  <sheetFormatPr defaultColWidth="9.140625" defaultRowHeight="12.75"/>
  <cols>
    <col min="1" max="1" width="4.7109375" style="21" customWidth="1"/>
    <col min="2" max="2" width="26.00390625" style="22" customWidth="1"/>
    <col min="3" max="3" width="65.421875" style="23" customWidth="1"/>
    <col min="4" max="4" width="13.7109375" style="21" customWidth="1"/>
    <col min="5" max="5" width="14.28125" style="138" customWidth="1"/>
    <col min="6" max="6" width="22.00390625" style="218" bestFit="1" customWidth="1"/>
    <col min="8" max="8" width="12.7109375" style="0" customWidth="1"/>
  </cols>
  <sheetData>
    <row r="1" spans="2:6" ht="15">
      <c r="B1" s="567" t="s">
        <v>801</v>
      </c>
      <c r="C1" s="567"/>
      <c r="F1" s="24"/>
    </row>
    <row r="2" spans="1:6" ht="45">
      <c r="A2" s="108" t="s">
        <v>602</v>
      </c>
      <c r="B2" s="108" t="s">
        <v>603</v>
      </c>
      <c r="C2" s="108" t="s">
        <v>616</v>
      </c>
      <c r="D2" s="108" t="s">
        <v>604</v>
      </c>
      <c r="E2" s="207" t="s">
        <v>615</v>
      </c>
      <c r="F2" s="108" t="s">
        <v>802</v>
      </c>
    </row>
    <row r="3" spans="1:6" ht="15">
      <c r="A3" s="11"/>
      <c r="B3" s="551" t="s">
        <v>803</v>
      </c>
      <c r="C3" s="551"/>
      <c r="D3" s="551"/>
      <c r="E3" s="551"/>
      <c r="F3" s="552"/>
    </row>
    <row r="4" spans="1:6" s="374" customFormat="1" ht="14.25">
      <c r="A4" s="1">
        <v>1</v>
      </c>
      <c r="B4" s="553" t="s">
        <v>876</v>
      </c>
      <c r="C4" s="391" t="s">
        <v>745</v>
      </c>
      <c r="D4" s="393" t="s">
        <v>606</v>
      </c>
      <c r="E4" s="392">
        <v>2355.74</v>
      </c>
      <c r="F4" s="393" t="s">
        <v>593</v>
      </c>
    </row>
    <row r="5" spans="1:6" s="374" customFormat="1" ht="14.25">
      <c r="A5" s="1">
        <v>2</v>
      </c>
      <c r="B5" s="554"/>
      <c r="C5" s="391" t="s">
        <v>753</v>
      </c>
      <c r="D5" s="393" t="s">
        <v>754</v>
      </c>
      <c r="E5" s="394">
        <v>5000</v>
      </c>
      <c r="F5" s="393" t="s">
        <v>593</v>
      </c>
    </row>
    <row r="6" spans="1:6" ht="28.5">
      <c r="A6" s="1">
        <v>3</v>
      </c>
      <c r="B6" s="557" t="s">
        <v>810</v>
      </c>
      <c r="C6" s="164" t="s">
        <v>811</v>
      </c>
      <c r="D6" s="1" t="s">
        <v>606</v>
      </c>
      <c r="E6" s="122">
        <v>435.417</v>
      </c>
      <c r="F6" s="1" t="s">
        <v>612</v>
      </c>
    </row>
    <row r="7" spans="1:6" ht="14.25">
      <c r="A7" s="1">
        <v>4</v>
      </c>
      <c r="B7" s="557"/>
      <c r="C7" s="164" t="s">
        <v>812</v>
      </c>
      <c r="D7" s="1" t="s">
        <v>606</v>
      </c>
      <c r="E7" s="122">
        <v>38.287</v>
      </c>
      <c r="F7" s="1" t="s">
        <v>612</v>
      </c>
    </row>
    <row r="8" spans="1:6" ht="14.25">
      <c r="A8" s="1">
        <v>5</v>
      </c>
      <c r="B8" s="557"/>
      <c r="C8" s="164" t="s">
        <v>813</v>
      </c>
      <c r="D8" s="1" t="s">
        <v>606</v>
      </c>
      <c r="E8" s="122">
        <v>810.8108108108108</v>
      </c>
      <c r="F8" s="1" t="s">
        <v>612</v>
      </c>
    </row>
    <row r="9" spans="1:6" ht="14.25">
      <c r="A9" s="1">
        <v>6</v>
      </c>
      <c r="B9" s="164" t="s">
        <v>814</v>
      </c>
      <c r="C9" s="164" t="s">
        <v>815</v>
      </c>
      <c r="D9" s="1" t="s">
        <v>606</v>
      </c>
      <c r="E9" s="120">
        <v>379.81</v>
      </c>
      <c r="F9" s="1" t="s">
        <v>612</v>
      </c>
    </row>
    <row r="10" spans="1:6" ht="14.25">
      <c r="A10" s="1">
        <v>7</v>
      </c>
      <c r="B10" s="557" t="s">
        <v>816</v>
      </c>
      <c r="C10" s="164" t="s">
        <v>817</v>
      </c>
      <c r="D10" s="1" t="s">
        <v>818</v>
      </c>
      <c r="E10" s="122">
        <f>543133/3500</f>
        <v>155.18085714285715</v>
      </c>
      <c r="F10" s="1" t="s">
        <v>612</v>
      </c>
    </row>
    <row r="11" spans="1:6" ht="28.5">
      <c r="A11" s="1">
        <v>8</v>
      </c>
      <c r="B11" s="557"/>
      <c r="C11" s="164" t="s">
        <v>819</v>
      </c>
      <c r="D11" s="1" t="s">
        <v>606</v>
      </c>
      <c r="E11" s="122">
        <f>672619/3500</f>
        <v>192.17685714285713</v>
      </c>
      <c r="F11" s="1" t="s">
        <v>612</v>
      </c>
    </row>
    <row r="12" spans="1:6" ht="14.25">
      <c r="A12" s="1">
        <v>9</v>
      </c>
      <c r="B12" s="557" t="s">
        <v>820</v>
      </c>
      <c r="C12" s="164" t="s">
        <v>821</v>
      </c>
      <c r="D12" s="1" t="s">
        <v>606</v>
      </c>
      <c r="E12" s="122">
        <v>419.711</v>
      </c>
      <c r="F12" s="1" t="s">
        <v>612</v>
      </c>
    </row>
    <row r="13" spans="1:6" ht="42.75">
      <c r="A13" s="1">
        <v>10</v>
      </c>
      <c r="B13" s="557"/>
      <c r="C13" s="164" t="s">
        <v>822</v>
      </c>
      <c r="D13" s="1" t="s">
        <v>606</v>
      </c>
      <c r="E13" s="122">
        <v>137.196</v>
      </c>
      <c r="F13" s="1" t="s">
        <v>612</v>
      </c>
    </row>
    <row r="14" spans="1:6" ht="28.5">
      <c r="A14" s="1">
        <v>11</v>
      </c>
      <c r="B14" s="550" t="s">
        <v>804</v>
      </c>
      <c r="C14" s="391" t="s">
        <v>805</v>
      </c>
      <c r="D14" s="4" t="s">
        <v>605</v>
      </c>
      <c r="E14" s="122"/>
      <c r="F14" s="1" t="s">
        <v>612</v>
      </c>
    </row>
    <row r="15" spans="1:6" ht="14.25">
      <c r="A15" s="1">
        <v>12</v>
      </c>
      <c r="B15" s="550"/>
      <c r="C15" s="163" t="s">
        <v>806</v>
      </c>
      <c r="D15" s="4" t="s">
        <v>605</v>
      </c>
      <c r="E15" s="122"/>
      <c r="F15" s="1" t="s">
        <v>612</v>
      </c>
    </row>
    <row r="16" spans="1:6" ht="14.25">
      <c r="A16" s="1">
        <v>13</v>
      </c>
      <c r="B16" s="550"/>
      <c r="C16" s="163" t="s">
        <v>807</v>
      </c>
      <c r="D16" s="4" t="s">
        <v>605</v>
      </c>
      <c r="E16" s="122"/>
      <c r="F16" s="1" t="s">
        <v>612</v>
      </c>
    </row>
    <row r="17" spans="1:6" ht="14.25">
      <c r="A17" s="1">
        <v>14</v>
      </c>
      <c r="B17" s="163" t="s">
        <v>808</v>
      </c>
      <c r="C17" s="163" t="s">
        <v>809</v>
      </c>
      <c r="D17" s="4" t="s">
        <v>605</v>
      </c>
      <c r="E17" s="122">
        <f>1000000/3500</f>
        <v>285.7142857142857</v>
      </c>
      <c r="F17" s="1" t="s">
        <v>612</v>
      </c>
    </row>
    <row r="18" spans="1:6" ht="15">
      <c r="A18" s="4"/>
      <c r="B18" s="580" t="s">
        <v>823</v>
      </c>
      <c r="C18" s="580"/>
      <c r="D18" s="580"/>
      <c r="E18" s="179">
        <f>SUM(E4:E17)</f>
        <v>10210.04381081081</v>
      </c>
      <c r="F18" s="1"/>
    </row>
    <row r="19" spans="1:6" ht="15">
      <c r="A19" s="472"/>
      <c r="B19" s="167"/>
      <c r="C19" s="167"/>
      <c r="D19" s="167"/>
      <c r="E19" s="353"/>
      <c r="F19" s="473"/>
    </row>
    <row r="20" spans="1:6" ht="15">
      <c r="A20" s="294"/>
      <c r="B20" s="545" t="s">
        <v>132</v>
      </c>
      <c r="C20" s="545"/>
      <c r="D20" s="159"/>
      <c r="E20" s="202"/>
      <c r="F20" s="280"/>
    </row>
    <row r="21" spans="1:6" ht="14.25">
      <c r="A21" s="1">
        <v>1</v>
      </c>
      <c r="B21" s="574" t="s">
        <v>893</v>
      </c>
      <c r="C21" s="43" t="s">
        <v>894</v>
      </c>
      <c r="D21" s="16" t="s">
        <v>605</v>
      </c>
      <c r="E21" s="114"/>
      <c r="F21" s="16" t="s">
        <v>612</v>
      </c>
    </row>
    <row r="22" spans="1:6" ht="14.25">
      <c r="A22" s="1">
        <v>2</v>
      </c>
      <c r="B22" s="546"/>
      <c r="C22" s="43" t="s">
        <v>895</v>
      </c>
      <c r="D22" s="1" t="s">
        <v>605</v>
      </c>
      <c r="E22" s="120"/>
      <c r="F22" s="1" t="s">
        <v>612</v>
      </c>
    </row>
    <row r="23" spans="1:6" ht="15">
      <c r="A23" s="1"/>
      <c r="B23" s="547" t="s">
        <v>133</v>
      </c>
      <c r="C23" s="548"/>
      <c r="D23" s="549"/>
      <c r="E23" s="126">
        <f>SUM(E21:E22)</f>
        <v>0</v>
      </c>
      <c r="F23" s="201"/>
    </row>
    <row r="24" spans="1:6" ht="15">
      <c r="A24" s="472"/>
      <c r="B24" s="167"/>
      <c r="C24" s="167"/>
      <c r="D24" s="167"/>
      <c r="E24" s="353"/>
      <c r="F24" s="473"/>
    </row>
    <row r="25" spans="1:6" ht="15">
      <c r="A25" s="150"/>
      <c r="B25" s="579" t="s">
        <v>849</v>
      </c>
      <c r="C25" s="579"/>
      <c r="D25" s="29"/>
      <c r="E25" s="202"/>
      <c r="F25" s="147"/>
    </row>
    <row r="26" spans="1:6" ht="14.25">
      <c r="A26" s="27">
        <v>1</v>
      </c>
      <c r="B26" s="162" t="s">
        <v>850</v>
      </c>
      <c r="C26" s="162" t="s">
        <v>851</v>
      </c>
      <c r="D26" s="1" t="s">
        <v>818</v>
      </c>
      <c r="E26" s="114">
        <v>1483.84</v>
      </c>
      <c r="F26" s="16" t="s">
        <v>613</v>
      </c>
    </row>
    <row r="27" spans="1:6" ht="28.5">
      <c r="A27" s="4">
        <v>2</v>
      </c>
      <c r="B27" s="164" t="s">
        <v>804</v>
      </c>
      <c r="C27" s="391" t="s">
        <v>852</v>
      </c>
      <c r="D27" s="1" t="s">
        <v>606</v>
      </c>
      <c r="E27" s="120">
        <v>556</v>
      </c>
      <c r="F27" s="1" t="s">
        <v>613</v>
      </c>
    </row>
    <row r="28" spans="1:6" ht="14.25">
      <c r="A28" s="4">
        <v>3</v>
      </c>
      <c r="B28" s="164" t="s">
        <v>850</v>
      </c>
      <c r="C28" s="164" t="s">
        <v>853</v>
      </c>
      <c r="D28" s="1" t="s">
        <v>606</v>
      </c>
      <c r="E28" s="120">
        <f>2497810/3500</f>
        <v>713.66</v>
      </c>
      <c r="F28" s="1" t="s">
        <v>613</v>
      </c>
    </row>
    <row r="29" spans="1:6" ht="14.25">
      <c r="A29" s="4">
        <v>4</v>
      </c>
      <c r="B29" s="169" t="s">
        <v>816</v>
      </c>
      <c r="C29" s="169" t="s">
        <v>854</v>
      </c>
      <c r="D29" s="170" t="s">
        <v>606</v>
      </c>
      <c r="E29" s="306">
        <f>6892031/3500</f>
        <v>1969.1517142857142</v>
      </c>
      <c r="F29" s="1" t="s">
        <v>613</v>
      </c>
    </row>
    <row r="30" spans="1:6" ht="14.25">
      <c r="A30" s="49">
        <v>5</v>
      </c>
      <c r="B30" s="172" t="s">
        <v>855</v>
      </c>
      <c r="C30" s="165" t="s">
        <v>856</v>
      </c>
      <c r="D30" s="34" t="s">
        <v>606</v>
      </c>
      <c r="E30" s="120">
        <v>950.72</v>
      </c>
      <c r="F30" s="1" t="s">
        <v>613</v>
      </c>
    </row>
    <row r="31" spans="1:6" ht="14.25">
      <c r="A31" s="4">
        <v>6</v>
      </c>
      <c r="B31" s="166" t="s">
        <v>857</v>
      </c>
      <c r="C31" s="164" t="s">
        <v>858</v>
      </c>
      <c r="D31" s="12" t="s">
        <v>608</v>
      </c>
      <c r="E31" s="120"/>
      <c r="F31" s="1" t="s">
        <v>613</v>
      </c>
    </row>
    <row r="32" spans="1:6" ht="15">
      <c r="A32" s="568" t="s">
        <v>859</v>
      </c>
      <c r="B32" s="559"/>
      <c r="C32" s="559"/>
      <c r="D32" s="560"/>
      <c r="E32" s="179">
        <f>SUM(E26:E31)</f>
        <v>5673.371714285714</v>
      </c>
      <c r="F32" s="1"/>
    </row>
    <row r="33" spans="1:6" ht="15">
      <c r="A33" s="150"/>
      <c r="B33" s="567" t="s">
        <v>512</v>
      </c>
      <c r="C33" s="567"/>
      <c r="D33" s="176"/>
      <c r="E33" s="305"/>
      <c r="F33" s="147"/>
    </row>
    <row r="34" spans="1:6" ht="28.5">
      <c r="A34" s="1">
        <v>1</v>
      </c>
      <c r="B34" s="162" t="s">
        <v>814</v>
      </c>
      <c r="C34" s="162" t="s">
        <v>860</v>
      </c>
      <c r="D34" s="16" t="s">
        <v>606</v>
      </c>
      <c r="E34" s="114">
        <v>1733.86</v>
      </c>
      <c r="F34" s="16" t="s">
        <v>613</v>
      </c>
    </row>
    <row r="35" spans="1:6" ht="14.25">
      <c r="A35" s="1">
        <v>2</v>
      </c>
      <c r="B35" s="164" t="s">
        <v>804</v>
      </c>
      <c r="C35" s="164" t="s">
        <v>861</v>
      </c>
      <c r="D35" s="1" t="s">
        <v>606</v>
      </c>
      <c r="E35" s="120">
        <v>998</v>
      </c>
      <c r="F35" s="1" t="s">
        <v>613</v>
      </c>
    </row>
    <row r="36" spans="1:6" ht="14.25">
      <c r="A36" s="1">
        <v>3</v>
      </c>
      <c r="B36" s="164" t="s">
        <v>816</v>
      </c>
      <c r="C36" s="169" t="s">
        <v>862</v>
      </c>
      <c r="D36" s="170" t="s">
        <v>607</v>
      </c>
      <c r="E36" s="306">
        <v>833</v>
      </c>
      <c r="F36" s="1" t="s">
        <v>613</v>
      </c>
    </row>
    <row r="37" spans="1:6" ht="14.25">
      <c r="A37" s="1">
        <v>4</v>
      </c>
      <c r="B37" s="164" t="s">
        <v>855</v>
      </c>
      <c r="C37" s="164" t="s">
        <v>863</v>
      </c>
      <c r="D37" s="1" t="s">
        <v>606</v>
      </c>
      <c r="E37" s="120">
        <v>1965.484</v>
      </c>
      <c r="F37" s="1" t="s">
        <v>613</v>
      </c>
    </row>
    <row r="38" spans="1:6" ht="14.25">
      <c r="A38" s="1">
        <v>5</v>
      </c>
      <c r="B38" s="164" t="s">
        <v>865</v>
      </c>
      <c r="C38" s="164" t="s">
        <v>864</v>
      </c>
      <c r="D38" s="4" t="s">
        <v>606</v>
      </c>
      <c r="E38" s="122">
        <v>1307.74</v>
      </c>
      <c r="F38" s="1" t="s">
        <v>613</v>
      </c>
    </row>
    <row r="39" spans="1:6" ht="28.5">
      <c r="A39" s="1">
        <v>6</v>
      </c>
      <c r="B39" s="164" t="s">
        <v>936</v>
      </c>
      <c r="C39" s="164" t="s">
        <v>869</v>
      </c>
      <c r="D39" s="4" t="s">
        <v>606</v>
      </c>
      <c r="E39" s="120">
        <v>1308</v>
      </c>
      <c r="F39" s="1" t="s">
        <v>613</v>
      </c>
    </row>
    <row r="40" spans="1:6" ht="14.25">
      <c r="A40" s="4">
        <v>7</v>
      </c>
      <c r="B40" s="164" t="s">
        <v>870</v>
      </c>
      <c r="C40" s="164" t="s">
        <v>871</v>
      </c>
      <c r="D40" s="4" t="s">
        <v>606</v>
      </c>
      <c r="E40" s="120">
        <v>1235</v>
      </c>
      <c r="F40" s="1" t="s">
        <v>613</v>
      </c>
    </row>
    <row r="41" spans="1:6" ht="14.25">
      <c r="A41" s="1">
        <v>8</v>
      </c>
      <c r="B41" s="578" t="s">
        <v>857</v>
      </c>
      <c r="C41" s="164" t="s">
        <v>872</v>
      </c>
      <c r="D41" s="4" t="s">
        <v>608</v>
      </c>
      <c r="E41" s="120">
        <v>927.36</v>
      </c>
      <c r="F41" s="1" t="s">
        <v>613</v>
      </c>
    </row>
    <row r="42" spans="1:6" ht="14.25">
      <c r="A42" s="1">
        <v>9</v>
      </c>
      <c r="B42" s="578"/>
      <c r="C42" s="164" t="s">
        <v>873</v>
      </c>
      <c r="D42" s="4" t="s">
        <v>608</v>
      </c>
      <c r="E42" s="120">
        <v>695.52</v>
      </c>
      <c r="F42" s="1" t="s">
        <v>613</v>
      </c>
    </row>
    <row r="43" spans="1:6" ht="14.25">
      <c r="A43" s="1">
        <v>10</v>
      </c>
      <c r="B43" s="578" t="s">
        <v>855</v>
      </c>
      <c r="C43" s="164" t="s">
        <v>872</v>
      </c>
      <c r="D43" s="4" t="s">
        <v>608</v>
      </c>
      <c r="E43" s="120">
        <v>291.75</v>
      </c>
      <c r="F43" s="1" t="s">
        <v>613</v>
      </c>
    </row>
    <row r="44" spans="1:6" ht="14.25">
      <c r="A44" s="1">
        <v>11</v>
      </c>
      <c r="B44" s="578"/>
      <c r="C44" s="164" t="s">
        <v>874</v>
      </c>
      <c r="D44" s="4" t="s">
        <v>608</v>
      </c>
      <c r="E44" s="120">
        <v>700.2</v>
      </c>
      <c r="F44" s="1" t="s">
        <v>613</v>
      </c>
    </row>
    <row r="45" spans="1:6" ht="14.25">
      <c r="A45" s="1">
        <v>12</v>
      </c>
      <c r="B45" s="578" t="s">
        <v>808</v>
      </c>
      <c r="C45" s="164" t="s">
        <v>872</v>
      </c>
      <c r="D45" s="4" t="s">
        <v>608</v>
      </c>
      <c r="E45" s="120">
        <v>1022.56</v>
      </c>
      <c r="F45" s="1" t="s">
        <v>613</v>
      </c>
    </row>
    <row r="46" spans="1:6" ht="14.25">
      <c r="A46" s="1">
        <v>13</v>
      </c>
      <c r="B46" s="578"/>
      <c r="C46" s="164" t="s">
        <v>873</v>
      </c>
      <c r="D46" s="4" t="s">
        <v>608</v>
      </c>
      <c r="E46" s="120">
        <v>766.92</v>
      </c>
      <c r="F46" s="1" t="s">
        <v>613</v>
      </c>
    </row>
    <row r="47" spans="1:6" ht="14.25">
      <c r="A47" s="4">
        <v>14</v>
      </c>
      <c r="B47" s="578" t="s">
        <v>865</v>
      </c>
      <c r="C47" s="164" t="s">
        <v>872</v>
      </c>
      <c r="D47" s="4" t="s">
        <v>608</v>
      </c>
      <c r="E47" s="120">
        <v>1101.6</v>
      </c>
      <c r="F47" s="1" t="s">
        <v>613</v>
      </c>
    </row>
    <row r="48" spans="1:6" ht="14.25">
      <c r="A48" s="1">
        <v>15</v>
      </c>
      <c r="B48" s="578"/>
      <c r="C48" s="164" t="s">
        <v>873</v>
      </c>
      <c r="D48" s="4" t="s">
        <v>608</v>
      </c>
      <c r="E48" s="120">
        <v>826.2</v>
      </c>
      <c r="F48" s="1" t="s">
        <v>613</v>
      </c>
    </row>
    <row r="49" spans="1:6" ht="14.25">
      <c r="A49" s="1">
        <v>16</v>
      </c>
      <c r="B49" s="578" t="s">
        <v>875</v>
      </c>
      <c r="C49" s="164" t="s">
        <v>872</v>
      </c>
      <c r="D49" s="4" t="s">
        <v>608</v>
      </c>
      <c r="E49" s="120">
        <v>301.65</v>
      </c>
      <c r="F49" s="1" t="s">
        <v>613</v>
      </c>
    </row>
    <row r="50" spans="1:6" ht="14.25">
      <c r="A50" s="1">
        <v>17</v>
      </c>
      <c r="B50" s="578"/>
      <c r="C50" s="164" t="s">
        <v>873</v>
      </c>
      <c r="D50" s="4" t="s">
        <v>608</v>
      </c>
      <c r="E50" s="120">
        <v>723.96</v>
      </c>
      <c r="F50" s="1" t="s">
        <v>613</v>
      </c>
    </row>
    <row r="51" spans="1:6" ht="14.25">
      <c r="A51" s="1">
        <v>18</v>
      </c>
      <c r="B51" s="578" t="s">
        <v>810</v>
      </c>
      <c r="C51" s="164" t="s">
        <v>872</v>
      </c>
      <c r="D51" s="4" t="s">
        <v>608</v>
      </c>
      <c r="E51" s="120">
        <v>370.35</v>
      </c>
      <c r="F51" s="1" t="s">
        <v>613</v>
      </c>
    </row>
    <row r="52" spans="1:6" ht="14.25">
      <c r="A52" s="1">
        <v>19</v>
      </c>
      <c r="B52" s="578"/>
      <c r="C52" s="164" t="s">
        <v>873</v>
      </c>
      <c r="D52" s="4" t="s">
        <v>608</v>
      </c>
      <c r="E52" s="120">
        <v>888.84</v>
      </c>
      <c r="F52" s="1" t="s">
        <v>613</v>
      </c>
    </row>
    <row r="53" spans="1:6" ht="15">
      <c r="A53" s="178"/>
      <c r="B53" s="559" t="s">
        <v>514</v>
      </c>
      <c r="C53" s="559"/>
      <c r="D53" s="139"/>
      <c r="E53" s="179">
        <f>SUM(E34:E52)</f>
        <v>17997.994</v>
      </c>
      <c r="F53" s="1"/>
    </row>
    <row r="54" spans="1:6" ht="15">
      <c r="A54" s="11"/>
      <c r="B54" s="579" t="s">
        <v>513</v>
      </c>
      <c r="C54" s="579"/>
      <c r="D54" s="29"/>
      <c r="E54" s="202"/>
      <c r="F54" s="10"/>
    </row>
    <row r="55" spans="1:6" ht="28.5">
      <c r="A55" s="49">
        <v>1</v>
      </c>
      <c r="B55" s="180" t="s">
        <v>816</v>
      </c>
      <c r="C55" s="180" t="s">
        <v>877</v>
      </c>
      <c r="D55" s="9" t="s">
        <v>818</v>
      </c>
      <c r="E55" s="320">
        <v>94.5945945945946</v>
      </c>
      <c r="F55" s="182" t="s">
        <v>612</v>
      </c>
    </row>
    <row r="56" spans="1:6" ht="15">
      <c r="A56" s="192"/>
      <c r="B56" s="559" t="s">
        <v>515</v>
      </c>
      <c r="C56" s="559"/>
      <c r="D56" s="560"/>
      <c r="E56" s="126">
        <f>SUM(E55)</f>
        <v>94.5945945945946</v>
      </c>
      <c r="F56" s="1"/>
    </row>
    <row r="57" spans="1:6" ht="15">
      <c r="A57" s="474"/>
      <c r="B57" s="475"/>
      <c r="C57" s="475"/>
      <c r="D57" s="475"/>
      <c r="E57" s="476"/>
      <c r="F57" s="473"/>
    </row>
    <row r="58" spans="1:6" ht="15">
      <c r="A58" s="11"/>
      <c r="B58" s="561" t="s">
        <v>134</v>
      </c>
      <c r="C58" s="561"/>
      <c r="D58" s="29"/>
      <c r="E58" s="202"/>
      <c r="F58" s="10"/>
    </row>
    <row r="59" spans="1:6" ht="14.25">
      <c r="A59" s="16">
        <v>1</v>
      </c>
      <c r="B59" s="162" t="s">
        <v>804</v>
      </c>
      <c r="C59" s="162" t="s">
        <v>953</v>
      </c>
      <c r="D59" s="16" t="s">
        <v>606</v>
      </c>
      <c r="E59" s="114"/>
      <c r="F59" s="16" t="s">
        <v>612</v>
      </c>
    </row>
    <row r="60" spans="1:6" ht="14.25">
      <c r="A60" s="1">
        <v>2</v>
      </c>
      <c r="B60" s="164" t="s">
        <v>855</v>
      </c>
      <c r="C60" s="164" t="s">
        <v>954</v>
      </c>
      <c r="D60" s="1" t="s">
        <v>818</v>
      </c>
      <c r="E60" s="120">
        <v>197</v>
      </c>
      <c r="F60" s="1" t="s">
        <v>612</v>
      </c>
    </row>
    <row r="61" spans="1:6" ht="15">
      <c r="A61" s="192"/>
      <c r="B61" s="193"/>
      <c r="C61" s="194" t="s">
        <v>135</v>
      </c>
      <c r="D61" s="139"/>
      <c r="E61" s="126">
        <f>SUM(E59:E60)</f>
        <v>197</v>
      </c>
      <c r="F61" s="1"/>
    </row>
    <row r="62" spans="1:6" ht="15">
      <c r="A62" s="474"/>
      <c r="B62" s="475"/>
      <c r="C62" s="475"/>
      <c r="D62" s="475"/>
      <c r="E62" s="476"/>
      <c r="F62" s="473"/>
    </row>
    <row r="63" spans="1:6" ht="15">
      <c r="A63" s="150"/>
      <c r="B63" s="567" t="s">
        <v>878</v>
      </c>
      <c r="C63" s="567"/>
      <c r="D63" s="176"/>
      <c r="E63" s="305"/>
      <c r="F63" s="147"/>
    </row>
    <row r="64" spans="1:6" ht="14.25">
      <c r="A64" s="14">
        <v>1</v>
      </c>
      <c r="B64" s="576" t="s">
        <v>820</v>
      </c>
      <c r="C64" s="20" t="s">
        <v>889</v>
      </c>
      <c r="D64" s="20" t="s">
        <v>890</v>
      </c>
      <c r="E64" s="418">
        <v>41</v>
      </c>
      <c r="F64" s="16" t="s">
        <v>612</v>
      </c>
    </row>
    <row r="65" spans="1:6" ht="28.5">
      <c r="A65" s="14">
        <v>2</v>
      </c>
      <c r="B65" s="577"/>
      <c r="C65" s="20" t="s">
        <v>892</v>
      </c>
      <c r="D65" s="17" t="s">
        <v>891</v>
      </c>
      <c r="E65" s="418">
        <v>136.7</v>
      </c>
      <c r="F65" s="16" t="s">
        <v>612</v>
      </c>
    </row>
    <row r="66" spans="1:6" ht="14.25">
      <c r="A66" s="1">
        <v>3</v>
      </c>
      <c r="B66" s="162" t="s">
        <v>810</v>
      </c>
      <c r="C66" s="162" t="s">
        <v>880</v>
      </c>
      <c r="D66" s="16" t="s">
        <v>605</v>
      </c>
      <c r="E66" s="114">
        <v>13.51</v>
      </c>
      <c r="F66" s="16" t="s">
        <v>612</v>
      </c>
    </row>
    <row r="67" spans="1:6" ht="28.5">
      <c r="A67" s="1">
        <v>4</v>
      </c>
      <c r="B67" s="2" t="s">
        <v>808</v>
      </c>
      <c r="C67" s="164" t="s">
        <v>881</v>
      </c>
      <c r="D67" s="1" t="s">
        <v>605</v>
      </c>
      <c r="E67" s="120"/>
      <c r="F67" s="1" t="s">
        <v>612</v>
      </c>
    </row>
    <row r="68" spans="1:6" ht="14.25">
      <c r="A68" s="1">
        <v>3</v>
      </c>
      <c r="B68" s="574" t="s">
        <v>882</v>
      </c>
      <c r="C68" s="164" t="s">
        <v>883</v>
      </c>
      <c r="D68" s="1" t="s">
        <v>605</v>
      </c>
      <c r="E68" s="120"/>
      <c r="F68" s="1" t="s">
        <v>612</v>
      </c>
    </row>
    <row r="69" spans="1:6" ht="14.25">
      <c r="A69" s="1">
        <v>4</v>
      </c>
      <c r="B69" s="575"/>
      <c r="C69" s="164" t="s">
        <v>884</v>
      </c>
      <c r="D69" s="1" t="s">
        <v>605</v>
      </c>
      <c r="E69" s="120"/>
      <c r="F69" s="1" t="s">
        <v>612</v>
      </c>
    </row>
    <row r="70" spans="1:6" ht="14.25">
      <c r="A70" s="1">
        <v>5</v>
      </c>
      <c r="B70" s="180" t="s">
        <v>642</v>
      </c>
      <c r="C70" s="165" t="s">
        <v>885</v>
      </c>
      <c r="D70" s="9" t="s">
        <v>605</v>
      </c>
      <c r="E70" s="116">
        <f>100000/3500</f>
        <v>28.571428571428573</v>
      </c>
      <c r="F70" s="9" t="s">
        <v>612</v>
      </c>
    </row>
    <row r="71" spans="1:6" ht="15">
      <c r="A71" s="4"/>
      <c r="B71" s="568" t="s">
        <v>886</v>
      </c>
      <c r="C71" s="559"/>
      <c r="D71" s="560"/>
      <c r="E71" s="179">
        <f>SUM(E64:E70)</f>
        <v>219.78142857142856</v>
      </c>
      <c r="F71" s="201"/>
    </row>
    <row r="72" spans="1:6" ht="15">
      <c r="A72" s="40"/>
      <c r="B72" s="167"/>
      <c r="C72" s="167"/>
      <c r="D72" s="167"/>
      <c r="E72" s="353"/>
      <c r="F72" s="168"/>
    </row>
    <row r="73" spans="1:6" ht="15">
      <c r="A73" s="150"/>
      <c r="B73" s="567" t="s">
        <v>887</v>
      </c>
      <c r="C73" s="567"/>
      <c r="D73" s="176"/>
      <c r="E73" s="305"/>
      <c r="F73" s="147"/>
    </row>
    <row r="74" spans="1:6" ht="28.5">
      <c r="A74" s="189">
        <v>1</v>
      </c>
      <c r="B74" s="164" t="s">
        <v>855</v>
      </c>
      <c r="C74" s="164" t="s">
        <v>900</v>
      </c>
      <c r="D74" s="1" t="s">
        <v>606</v>
      </c>
      <c r="E74" s="120">
        <v>48.17</v>
      </c>
      <c r="F74" s="1" t="s">
        <v>612</v>
      </c>
    </row>
    <row r="75" spans="1:6" ht="28.5">
      <c r="A75" s="187">
        <v>2</v>
      </c>
      <c r="B75" s="569" t="s">
        <v>820</v>
      </c>
      <c r="C75" s="20" t="s">
        <v>896</v>
      </c>
      <c r="D75" s="17" t="s">
        <v>897</v>
      </c>
      <c r="E75" s="418">
        <v>5.8</v>
      </c>
      <c r="F75" s="1" t="s">
        <v>612</v>
      </c>
    </row>
    <row r="76" spans="1:6" ht="14.25">
      <c r="A76" s="187">
        <v>3</v>
      </c>
      <c r="B76" s="570"/>
      <c r="C76" s="285" t="s">
        <v>898</v>
      </c>
      <c r="D76" s="285" t="s">
        <v>605</v>
      </c>
      <c r="E76" s="419"/>
      <c r="F76" s="1" t="s">
        <v>612</v>
      </c>
    </row>
    <row r="77" spans="1:6" ht="14.25">
      <c r="A77" s="187">
        <v>4</v>
      </c>
      <c r="B77" s="162" t="s">
        <v>810</v>
      </c>
      <c r="C77" s="162" t="s">
        <v>888</v>
      </c>
      <c r="D77" s="16" t="s">
        <v>605</v>
      </c>
      <c r="E77" s="361">
        <v>30</v>
      </c>
      <c r="F77" s="16" t="s">
        <v>612</v>
      </c>
    </row>
    <row r="78" spans="1:6" ht="14.25">
      <c r="A78" s="189">
        <v>5</v>
      </c>
      <c r="B78" s="164" t="s">
        <v>804</v>
      </c>
      <c r="C78" s="164" t="s">
        <v>899</v>
      </c>
      <c r="D78" s="1" t="s">
        <v>605</v>
      </c>
      <c r="E78" s="130"/>
      <c r="F78" s="1" t="s">
        <v>612</v>
      </c>
    </row>
    <row r="79" spans="1:6" ht="14.25">
      <c r="A79" s="191">
        <v>6</v>
      </c>
      <c r="B79" s="165" t="s">
        <v>808</v>
      </c>
      <c r="C79" s="165" t="s">
        <v>901</v>
      </c>
      <c r="D79" s="9" t="s">
        <v>605</v>
      </c>
      <c r="E79" s="130">
        <f>1300000/3500</f>
        <v>371.42857142857144</v>
      </c>
      <c r="F79" s="1" t="s">
        <v>612</v>
      </c>
    </row>
    <row r="80" spans="1:6" ht="15">
      <c r="A80" s="192"/>
      <c r="B80" s="193"/>
      <c r="C80" s="194" t="s">
        <v>902</v>
      </c>
      <c r="D80" s="139"/>
      <c r="E80" s="126">
        <f>SUM(E74:E79)</f>
        <v>455.3985714285715</v>
      </c>
      <c r="F80" s="1"/>
    </row>
    <row r="81" spans="1:6" ht="15">
      <c r="A81" s="148"/>
      <c r="B81" s="193"/>
      <c r="C81" s="194"/>
      <c r="D81" s="40"/>
      <c r="E81" s="132"/>
      <c r="F81" s="168"/>
    </row>
    <row r="82" spans="1:6" ht="15">
      <c r="A82" s="44"/>
      <c r="B82" s="573" t="s">
        <v>691</v>
      </c>
      <c r="C82" s="573"/>
      <c r="D82" s="45"/>
      <c r="E82" s="202"/>
      <c r="F82" s="10"/>
    </row>
    <row r="83" spans="1:6" s="374" customFormat="1" ht="14.25">
      <c r="A83" s="92">
        <v>1</v>
      </c>
      <c r="B83" s="157" t="s">
        <v>876</v>
      </c>
      <c r="C83" s="157" t="s">
        <v>755</v>
      </c>
      <c r="D83" s="92" t="s">
        <v>607</v>
      </c>
      <c r="E83" s="120">
        <v>133.8</v>
      </c>
      <c r="F83" s="1" t="s">
        <v>611</v>
      </c>
    </row>
    <row r="84" spans="1:6" ht="15">
      <c r="A84" s="148"/>
      <c r="B84" s="193"/>
      <c r="C84" s="47" t="s">
        <v>703</v>
      </c>
      <c r="D84" s="32"/>
      <c r="E84" s="126">
        <f>SUM(E82:E83)</f>
        <v>133.8</v>
      </c>
      <c r="F84" s="146"/>
    </row>
    <row r="85" spans="1:6" ht="15">
      <c r="A85" s="44"/>
      <c r="B85" s="561" t="s">
        <v>935</v>
      </c>
      <c r="C85" s="561"/>
      <c r="D85" s="45"/>
      <c r="E85" s="202"/>
      <c r="F85" s="10"/>
    </row>
    <row r="86" spans="1:6" ht="28.5">
      <c r="A86" s="16">
        <v>1</v>
      </c>
      <c r="B86" s="162" t="s">
        <v>936</v>
      </c>
      <c r="C86" s="162" t="s">
        <v>937</v>
      </c>
      <c r="D86" s="16" t="s">
        <v>606</v>
      </c>
      <c r="E86" s="114">
        <v>883.94</v>
      </c>
      <c r="F86" s="16" t="s">
        <v>613</v>
      </c>
    </row>
    <row r="87" spans="1:6" ht="15">
      <c r="A87" s="14"/>
      <c r="B87" s="193"/>
      <c r="C87" s="194" t="s">
        <v>938</v>
      </c>
      <c r="D87" s="40"/>
      <c r="E87" s="126">
        <f>SUM(E86)</f>
        <v>883.94</v>
      </c>
      <c r="F87" s="201"/>
    </row>
    <row r="88" spans="1:6" ht="15">
      <c r="A88" s="11"/>
      <c r="B88" s="561" t="s">
        <v>939</v>
      </c>
      <c r="C88" s="561"/>
      <c r="D88" s="29"/>
      <c r="E88" s="202"/>
      <c r="F88" s="10"/>
    </row>
    <row r="89" spans="1:6" ht="14.25">
      <c r="A89" s="187">
        <v>1</v>
      </c>
      <c r="B89" s="162" t="s">
        <v>810</v>
      </c>
      <c r="C89" s="162" t="s">
        <v>943</v>
      </c>
      <c r="D89" s="16" t="s">
        <v>606</v>
      </c>
      <c r="E89" s="361">
        <v>622</v>
      </c>
      <c r="F89" s="16" t="s">
        <v>612</v>
      </c>
    </row>
    <row r="90" spans="1:6" ht="14.25">
      <c r="A90" s="189">
        <v>2</v>
      </c>
      <c r="B90" s="164" t="s">
        <v>882</v>
      </c>
      <c r="C90" s="164" t="s">
        <v>944</v>
      </c>
      <c r="D90" s="1" t="s">
        <v>605</v>
      </c>
      <c r="E90" s="130"/>
      <c r="F90" s="1" t="s">
        <v>612</v>
      </c>
    </row>
    <row r="91" spans="1:6" ht="14.25">
      <c r="A91" s="189">
        <v>3</v>
      </c>
      <c r="B91" s="164" t="s">
        <v>804</v>
      </c>
      <c r="C91" s="164" t="s">
        <v>945</v>
      </c>
      <c r="D91" s="1" t="s">
        <v>605</v>
      </c>
      <c r="E91" s="130"/>
      <c r="F91" s="1" t="s">
        <v>612</v>
      </c>
    </row>
    <row r="92" spans="1:6" ht="14.25">
      <c r="A92" s="14">
        <v>4</v>
      </c>
      <c r="B92" s="20" t="s">
        <v>820</v>
      </c>
      <c r="C92" s="20" t="s">
        <v>944</v>
      </c>
      <c r="D92" s="1" t="s">
        <v>605</v>
      </c>
      <c r="E92" s="418"/>
      <c r="F92" s="1" t="s">
        <v>612</v>
      </c>
    </row>
    <row r="93" spans="1:6" ht="15">
      <c r="A93" s="20"/>
      <c r="B93" s="568" t="s">
        <v>946</v>
      </c>
      <c r="C93" s="559"/>
      <c r="D93" s="560"/>
      <c r="E93" s="126">
        <f>SUM(E89:E92)</f>
        <v>622</v>
      </c>
      <c r="F93" s="201"/>
    </row>
    <row r="94" spans="1:6" ht="15">
      <c r="A94" s="386"/>
      <c r="B94" s="471"/>
      <c r="C94" s="471"/>
      <c r="D94" s="471"/>
      <c r="E94" s="127"/>
      <c r="F94" s="215"/>
    </row>
    <row r="95" spans="1:6" ht="15">
      <c r="A95" s="44"/>
      <c r="B95" s="561" t="s">
        <v>516</v>
      </c>
      <c r="C95" s="561"/>
      <c r="D95" s="45"/>
      <c r="E95" s="202"/>
      <c r="F95" s="10"/>
    </row>
    <row r="96" spans="1:6" ht="14.25">
      <c r="A96" s="4">
        <v>1</v>
      </c>
      <c r="B96" s="163" t="s">
        <v>855</v>
      </c>
      <c r="C96" s="163" t="s">
        <v>963</v>
      </c>
      <c r="D96" s="4" t="s">
        <v>606</v>
      </c>
      <c r="E96" s="122">
        <v>82.66</v>
      </c>
      <c r="F96" s="1" t="s">
        <v>784</v>
      </c>
    </row>
    <row r="97" spans="1:6" ht="28.5">
      <c r="A97" s="92">
        <v>2</v>
      </c>
      <c r="B97" s="211" t="s">
        <v>936</v>
      </c>
      <c r="C97" s="211" t="s">
        <v>964</v>
      </c>
      <c r="D97" s="1" t="s">
        <v>818</v>
      </c>
      <c r="E97" s="120">
        <v>340.5405405405405</v>
      </c>
      <c r="F97" s="1" t="s">
        <v>784</v>
      </c>
    </row>
    <row r="98" spans="1:6" ht="28.5">
      <c r="A98" s="46">
        <v>3</v>
      </c>
      <c r="B98" s="210" t="s">
        <v>810</v>
      </c>
      <c r="C98" s="210" t="s">
        <v>960</v>
      </c>
      <c r="D98" s="46" t="s">
        <v>605</v>
      </c>
      <c r="E98" s="114"/>
      <c r="F98" s="16" t="s">
        <v>784</v>
      </c>
    </row>
    <row r="99" spans="1:6" ht="14.25">
      <c r="A99" s="92">
        <v>4</v>
      </c>
      <c r="B99" s="571" t="s">
        <v>804</v>
      </c>
      <c r="C99" s="211" t="s">
        <v>961</v>
      </c>
      <c r="D99" s="92" t="s">
        <v>605</v>
      </c>
      <c r="E99" s="120"/>
      <c r="F99" s="1" t="s">
        <v>784</v>
      </c>
    </row>
    <row r="100" spans="1:6" ht="14.25">
      <c r="A100" s="92">
        <v>5</v>
      </c>
      <c r="B100" s="572"/>
      <c r="C100" s="211" t="s">
        <v>962</v>
      </c>
      <c r="D100" s="92" t="s">
        <v>605</v>
      </c>
      <c r="E100" s="120"/>
      <c r="F100" s="1" t="s">
        <v>784</v>
      </c>
    </row>
    <row r="101" spans="1:6" ht="15">
      <c r="A101" s="14"/>
      <c r="B101" s="193"/>
      <c r="C101" s="194" t="s">
        <v>517</v>
      </c>
      <c r="D101" s="40"/>
      <c r="E101" s="126">
        <f>SUM(E96:E100)</f>
        <v>423.2005405405405</v>
      </c>
      <c r="F101" s="201"/>
    </row>
    <row r="103" spans="1:6" ht="15">
      <c r="A103" s="44"/>
      <c r="B103" s="561" t="s">
        <v>947</v>
      </c>
      <c r="C103" s="561"/>
      <c r="D103" s="45"/>
      <c r="E103" s="202"/>
      <c r="F103" s="10"/>
    </row>
    <row r="104" spans="1:6" ht="14.25">
      <c r="A104" s="16" t="s">
        <v>879</v>
      </c>
      <c r="B104" s="162" t="s">
        <v>810</v>
      </c>
      <c r="C104" s="162" t="s">
        <v>948</v>
      </c>
      <c r="D104" s="16"/>
      <c r="E104" s="114" t="s">
        <v>949</v>
      </c>
      <c r="F104" s="16" t="s">
        <v>950</v>
      </c>
    </row>
    <row r="105" spans="1:6" ht="28.5">
      <c r="A105" s="1">
        <v>2</v>
      </c>
      <c r="B105" s="557" t="s">
        <v>876</v>
      </c>
      <c r="C105" s="164" t="s">
        <v>951</v>
      </c>
      <c r="D105" s="1" t="s">
        <v>739</v>
      </c>
      <c r="E105" s="120">
        <v>5300</v>
      </c>
      <c r="F105" s="1" t="s">
        <v>950</v>
      </c>
    </row>
    <row r="106" spans="1:6" s="388" customFormat="1" ht="14.25">
      <c r="A106" s="9">
        <v>3</v>
      </c>
      <c r="B106" s="558"/>
      <c r="C106" s="165" t="s">
        <v>748</v>
      </c>
      <c r="D106" s="9" t="s">
        <v>606</v>
      </c>
      <c r="E106" s="120">
        <v>4500</v>
      </c>
      <c r="F106" s="1" t="s">
        <v>950</v>
      </c>
    </row>
    <row r="107" spans="1:6" ht="15">
      <c r="A107" s="204"/>
      <c r="B107" s="559" t="s">
        <v>952</v>
      </c>
      <c r="C107" s="559"/>
      <c r="D107" s="560"/>
      <c r="E107" s="126">
        <f>SUM(E104:E106)</f>
        <v>9800</v>
      </c>
      <c r="F107" s="1"/>
    </row>
    <row r="109" spans="1:6" ht="15">
      <c r="A109" s="44"/>
      <c r="B109" s="561" t="s">
        <v>955</v>
      </c>
      <c r="C109" s="561"/>
      <c r="D109" s="206"/>
      <c r="E109" s="303"/>
      <c r="F109" s="108"/>
    </row>
    <row r="110" spans="1:6" ht="14.25">
      <c r="A110" s="4">
        <v>1</v>
      </c>
      <c r="B110" s="565" t="s">
        <v>804</v>
      </c>
      <c r="C110" s="161" t="s">
        <v>956</v>
      </c>
      <c r="D110" s="27" t="s">
        <v>608</v>
      </c>
      <c r="E110" s="420"/>
      <c r="F110" s="16" t="s">
        <v>612</v>
      </c>
    </row>
    <row r="111" spans="1:6" ht="14.25">
      <c r="A111" s="4">
        <v>2</v>
      </c>
      <c r="B111" s="565"/>
      <c r="C111" s="163" t="s">
        <v>957</v>
      </c>
      <c r="D111" s="4" t="s">
        <v>608</v>
      </c>
      <c r="E111" s="343"/>
      <c r="F111" s="1" t="s">
        <v>612</v>
      </c>
    </row>
    <row r="112" spans="1:6" ht="14.25">
      <c r="A112" s="4">
        <v>3</v>
      </c>
      <c r="B112" s="566"/>
      <c r="C112" s="163" t="s">
        <v>958</v>
      </c>
      <c r="D112" s="4" t="s">
        <v>608</v>
      </c>
      <c r="E112" s="343"/>
      <c r="F112" s="1" t="s">
        <v>612</v>
      </c>
    </row>
    <row r="113" spans="1:6" ht="15">
      <c r="A113" s="14"/>
      <c r="B113" s="193"/>
      <c r="C113" s="194" t="s">
        <v>959</v>
      </c>
      <c r="D113" s="40"/>
      <c r="E113" s="126">
        <f>SUM(E110:E112)</f>
        <v>0</v>
      </c>
      <c r="F113" s="201"/>
    </row>
    <row r="115" spans="1:6" ht="15">
      <c r="A115" s="44"/>
      <c r="B115" s="561" t="s">
        <v>245</v>
      </c>
      <c r="C115" s="561"/>
      <c r="D115" s="45"/>
      <c r="E115" s="202"/>
      <c r="F115" s="10"/>
    </row>
    <row r="116" spans="1:6" ht="28.5">
      <c r="A116" s="1">
        <v>1</v>
      </c>
      <c r="B116" s="562" t="s">
        <v>876</v>
      </c>
      <c r="C116" s="162" t="s">
        <v>740</v>
      </c>
      <c r="D116" s="16" t="s">
        <v>606</v>
      </c>
      <c r="E116" s="326">
        <v>9590.3</v>
      </c>
      <c r="F116" s="16" t="s">
        <v>614</v>
      </c>
    </row>
    <row r="117" spans="1:6" ht="14.25">
      <c r="A117" s="1">
        <v>2</v>
      </c>
      <c r="B117" s="563"/>
      <c r="C117" s="162" t="s">
        <v>742</v>
      </c>
      <c r="D117" s="16" t="s">
        <v>606</v>
      </c>
      <c r="E117" s="326">
        <v>1220.43</v>
      </c>
      <c r="F117" s="16" t="s">
        <v>614</v>
      </c>
    </row>
    <row r="118" spans="1:6" ht="14.25">
      <c r="A118" s="1">
        <v>3</v>
      </c>
      <c r="B118" s="563"/>
      <c r="C118" s="162" t="s">
        <v>743</v>
      </c>
      <c r="D118" s="16" t="s">
        <v>606</v>
      </c>
      <c r="E118" s="326">
        <v>7168.65</v>
      </c>
      <c r="F118" s="16" t="s">
        <v>614</v>
      </c>
    </row>
    <row r="119" spans="1:6" ht="28.5">
      <c r="A119" s="1">
        <v>4</v>
      </c>
      <c r="B119" s="563"/>
      <c r="C119" s="162" t="s">
        <v>749</v>
      </c>
      <c r="D119" s="16" t="s">
        <v>750</v>
      </c>
      <c r="E119" s="326">
        <v>2800</v>
      </c>
      <c r="F119" s="16" t="s">
        <v>752</v>
      </c>
    </row>
    <row r="120" spans="1:6" ht="28.5">
      <c r="A120" s="1">
        <v>5</v>
      </c>
      <c r="B120" s="563"/>
      <c r="C120" s="162" t="s">
        <v>751</v>
      </c>
      <c r="D120" s="16" t="s">
        <v>606</v>
      </c>
      <c r="E120" s="326">
        <v>4608.6</v>
      </c>
      <c r="F120" s="16" t="s">
        <v>752</v>
      </c>
    </row>
    <row r="121" spans="1:6" ht="28.5">
      <c r="A121" s="1">
        <v>6</v>
      </c>
      <c r="B121" s="563"/>
      <c r="C121" s="162" t="s">
        <v>756</v>
      </c>
      <c r="D121" s="16" t="s">
        <v>754</v>
      </c>
      <c r="E121" s="326">
        <v>5000</v>
      </c>
      <c r="F121" s="16" t="s">
        <v>757</v>
      </c>
    </row>
    <row r="122" spans="1:6" ht="14.25">
      <c r="A122" s="1">
        <v>7</v>
      </c>
      <c r="B122" s="563"/>
      <c r="C122" s="162" t="s">
        <v>758</v>
      </c>
      <c r="D122" s="16" t="s">
        <v>754</v>
      </c>
      <c r="E122" s="326">
        <v>700</v>
      </c>
      <c r="F122" s="1" t="s">
        <v>614</v>
      </c>
    </row>
    <row r="123" spans="1:6" ht="14.25">
      <c r="A123" s="1">
        <v>8</v>
      </c>
      <c r="B123" s="563"/>
      <c r="C123" s="162" t="s">
        <v>760</v>
      </c>
      <c r="D123" s="16" t="s">
        <v>754</v>
      </c>
      <c r="E123" s="326">
        <v>182580</v>
      </c>
      <c r="F123" s="16" t="s">
        <v>757</v>
      </c>
    </row>
    <row r="124" spans="1:6" ht="14.25">
      <c r="A124" s="1">
        <v>9</v>
      </c>
      <c r="B124" s="563"/>
      <c r="C124" s="162" t="s">
        <v>302</v>
      </c>
      <c r="D124" s="16" t="s">
        <v>754</v>
      </c>
      <c r="E124" s="326">
        <v>2000</v>
      </c>
      <c r="F124" s="1" t="s">
        <v>614</v>
      </c>
    </row>
    <row r="125" spans="1:6" ht="14.25">
      <c r="A125" s="1">
        <v>10</v>
      </c>
      <c r="B125" s="563"/>
      <c r="C125" s="162" t="s">
        <v>744</v>
      </c>
      <c r="D125" s="16" t="s">
        <v>607</v>
      </c>
      <c r="E125" s="326">
        <v>4000</v>
      </c>
      <c r="F125" s="1" t="s">
        <v>614</v>
      </c>
    </row>
    <row r="126" spans="1:6" ht="14.25">
      <c r="A126" s="1">
        <v>11</v>
      </c>
      <c r="B126" s="563"/>
      <c r="C126" s="164" t="s">
        <v>741</v>
      </c>
      <c r="D126" s="16" t="s">
        <v>606</v>
      </c>
      <c r="E126" s="120">
        <v>383.02</v>
      </c>
      <c r="F126" s="1" t="s">
        <v>614</v>
      </c>
    </row>
    <row r="127" spans="1:6" ht="28.5">
      <c r="A127" s="1">
        <v>12</v>
      </c>
      <c r="B127" s="563"/>
      <c r="C127" s="164" t="s">
        <v>746</v>
      </c>
      <c r="D127" s="256" t="s">
        <v>739</v>
      </c>
      <c r="E127" s="120">
        <v>6000</v>
      </c>
      <c r="F127" s="201" t="s">
        <v>747</v>
      </c>
    </row>
    <row r="128" spans="1:6" ht="14.25">
      <c r="A128" s="1">
        <v>13</v>
      </c>
      <c r="B128" s="563"/>
      <c r="C128" s="164" t="s">
        <v>303</v>
      </c>
      <c r="D128" s="256" t="s">
        <v>606</v>
      </c>
      <c r="E128" s="120">
        <v>1495.84</v>
      </c>
      <c r="F128" s="201" t="s">
        <v>614</v>
      </c>
    </row>
    <row r="129" spans="1:6" ht="14.25">
      <c r="A129" s="1">
        <v>14</v>
      </c>
      <c r="B129" s="563"/>
      <c r="C129" s="164" t="s">
        <v>304</v>
      </c>
      <c r="D129" s="256" t="s">
        <v>607</v>
      </c>
      <c r="E129" s="120">
        <v>4000</v>
      </c>
      <c r="F129" s="201" t="s">
        <v>611</v>
      </c>
    </row>
    <row r="130" spans="1:6" ht="14.25">
      <c r="A130" s="1">
        <v>15</v>
      </c>
      <c r="B130" s="564"/>
      <c r="C130" s="164" t="s">
        <v>759</v>
      </c>
      <c r="D130" s="256" t="s">
        <v>605</v>
      </c>
      <c r="E130" s="120">
        <v>3500</v>
      </c>
      <c r="F130" s="201" t="s">
        <v>747</v>
      </c>
    </row>
    <row r="131" spans="1:6" ht="15">
      <c r="A131" s="20"/>
      <c r="B131" s="193"/>
      <c r="C131" s="194" t="s">
        <v>246</v>
      </c>
      <c r="D131" s="40"/>
      <c r="E131" s="126">
        <f>SUM(E116:E130)</f>
        <v>235046.83999999997</v>
      </c>
      <c r="F131" s="201"/>
    </row>
    <row r="132" spans="1:6" ht="15.75" thickBot="1">
      <c r="A132" s="386"/>
      <c r="B132" s="212"/>
      <c r="C132" s="213"/>
      <c r="E132" s="127"/>
      <c r="F132" s="215"/>
    </row>
    <row r="133" spans="1:6" ht="16.5" customHeight="1" thickBot="1">
      <c r="A133" s="424">
        <f>A17+A31+A52+A55+A70+A79+A83+A86+A92+A106+A60+A112+A22+A100+A130</f>
        <v>87</v>
      </c>
      <c r="B133" s="425"/>
      <c r="C133" s="423" t="s">
        <v>966</v>
      </c>
      <c r="D133" s="422"/>
      <c r="E133" s="426">
        <f>SUM(E131+E101+E23+E113+E61+E107+E93+E87+E84+E80+E71+E56+E53+E32+E18)</f>
        <v>281757.9646602316</v>
      </c>
      <c r="F133" s="427"/>
    </row>
    <row r="135" spans="3:6" ht="15">
      <c r="C135" s="375" t="s">
        <v>921</v>
      </c>
      <c r="E135" s="387">
        <f>E4+E6+E7+E8+E9+E10+E11+E12+E13+E26+E27+E28+E29+E30+E34+E35+E37+E38+E39+E40+E55+E64+E65+E74+E75+E86+E89+E105+E106+E60+E96+E97+E116+E117+E118+E119+E120+E126+E127+E128</f>
        <v>64665.03037451736</v>
      </c>
      <c r="F135" s="421"/>
    </row>
    <row r="136" spans="3:5" ht="15">
      <c r="C136" s="375" t="s">
        <v>922</v>
      </c>
      <c r="E136" s="387">
        <f>SUM(E133-E135)</f>
        <v>217092.93428571423</v>
      </c>
    </row>
  </sheetData>
  <mergeCells count="43">
    <mergeCell ref="B14:B16"/>
    <mergeCell ref="B6:B8"/>
    <mergeCell ref="B10:B11"/>
    <mergeCell ref="B1:C1"/>
    <mergeCell ref="B12:B13"/>
    <mergeCell ref="B3:F3"/>
    <mergeCell ref="B4:B5"/>
    <mergeCell ref="B25:C25"/>
    <mergeCell ref="B18:D18"/>
    <mergeCell ref="A32:D32"/>
    <mergeCell ref="B33:C33"/>
    <mergeCell ref="B20:C20"/>
    <mergeCell ref="B21:B22"/>
    <mergeCell ref="B23:D23"/>
    <mergeCell ref="B41:B42"/>
    <mergeCell ref="B43:B44"/>
    <mergeCell ref="B45:B46"/>
    <mergeCell ref="B47:B48"/>
    <mergeCell ref="B49:B50"/>
    <mergeCell ref="B51:B52"/>
    <mergeCell ref="B53:C53"/>
    <mergeCell ref="B54:C54"/>
    <mergeCell ref="B56:D56"/>
    <mergeCell ref="B82:C82"/>
    <mergeCell ref="B63:C63"/>
    <mergeCell ref="B68:B69"/>
    <mergeCell ref="B71:D71"/>
    <mergeCell ref="B64:B65"/>
    <mergeCell ref="B58:C58"/>
    <mergeCell ref="B103:C103"/>
    <mergeCell ref="B73:C73"/>
    <mergeCell ref="B85:C85"/>
    <mergeCell ref="B88:C88"/>
    <mergeCell ref="B93:D93"/>
    <mergeCell ref="B75:B76"/>
    <mergeCell ref="B95:C95"/>
    <mergeCell ref="B99:B100"/>
    <mergeCell ref="B105:B106"/>
    <mergeCell ref="B107:D107"/>
    <mergeCell ref="B115:C115"/>
    <mergeCell ref="B116:B130"/>
    <mergeCell ref="B110:B112"/>
    <mergeCell ref="B109:C109"/>
  </mergeCells>
  <printOptions horizontalCentered="1"/>
  <pageMargins left="0" right="0" top="1.1811023622047245" bottom="0.7874015748031497" header="0.35433070866141736" footer="0.3937007874015748"/>
  <pageSetup firstPageNumber="137" useFirstPageNumber="1" horizontalDpi="600" verticalDpi="600" orientation="landscape" paperSize="9" r:id="rId2"/>
  <headerFooter alignWithMargins="0">
    <oddFooter>&amp;LPartea a IV-a&amp;R&amp;P+&amp;132</oddFooter>
  </headerFooter>
  <rowBreaks count="5" manualBreakCount="5">
    <brk id="23" max="5" man="1"/>
    <brk id="48" max="5" man="1"/>
    <brk id="71" max="5" man="1"/>
    <brk id="93" max="5" man="1"/>
    <brk id="11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view="pageBreakPreview" zoomScaleSheetLayoutView="100" workbookViewId="0" topLeftCell="A181">
      <selection activeCell="B170" sqref="B170"/>
    </sheetView>
  </sheetViews>
  <sheetFormatPr defaultColWidth="9.140625" defaultRowHeight="12.75"/>
  <cols>
    <col min="1" max="1" width="4.7109375" style="21" customWidth="1"/>
    <col min="2" max="2" width="28.00390625" style="22" customWidth="1"/>
    <col min="3" max="3" width="61.421875" style="23" customWidth="1"/>
    <col min="4" max="4" width="14.00390625" style="21" customWidth="1"/>
    <col min="5" max="5" width="17.28125" style="138" customWidth="1"/>
    <col min="6" max="6" width="22.00390625" style="19" bestFit="1" customWidth="1"/>
    <col min="9" max="9" width="16.57421875" style="0" customWidth="1"/>
  </cols>
  <sheetData>
    <row r="1" spans="2:6" ht="15">
      <c r="B1" s="567" t="s">
        <v>618</v>
      </c>
      <c r="C1" s="567"/>
      <c r="D1" s="25"/>
      <c r="E1" s="111"/>
      <c r="F1" s="24"/>
    </row>
    <row r="2" spans="1:6" ht="45">
      <c r="A2" s="108" t="s">
        <v>602</v>
      </c>
      <c r="B2" s="108" t="s">
        <v>603</v>
      </c>
      <c r="C2" s="108" t="s">
        <v>616</v>
      </c>
      <c r="D2" s="222" t="s">
        <v>604</v>
      </c>
      <c r="E2" s="207" t="s">
        <v>615</v>
      </c>
      <c r="F2" s="108" t="s">
        <v>617</v>
      </c>
    </row>
    <row r="3" spans="1:6" ht="15">
      <c r="A3" s="11"/>
      <c r="B3" s="545" t="s">
        <v>619</v>
      </c>
      <c r="C3" s="545"/>
      <c r="D3" s="55"/>
      <c r="E3" s="113"/>
      <c r="F3" s="10"/>
    </row>
    <row r="4" spans="1:6" ht="28.5">
      <c r="A4" s="1">
        <v>1</v>
      </c>
      <c r="B4" s="2" t="s">
        <v>620</v>
      </c>
      <c r="C4" s="3" t="s">
        <v>621</v>
      </c>
      <c r="D4" s="1" t="s">
        <v>606</v>
      </c>
      <c r="E4" s="120">
        <v>978.78463</v>
      </c>
      <c r="F4" s="1" t="s">
        <v>612</v>
      </c>
    </row>
    <row r="5" spans="1:6" ht="28.5">
      <c r="A5" s="1">
        <v>2</v>
      </c>
      <c r="B5" s="2" t="s">
        <v>622</v>
      </c>
      <c r="C5" s="3" t="s">
        <v>623</v>
      </c>
      <c r="D5" s="1" t="s">
        <v>606</v>
      </c>
      <c r="E5" s="115">
        <f>2741281/3500</f>
        <v>783.2231428571429</v>
      </c>
      <c r="F5" s="1" t="s">
        <v>612</v>
      </c>
    </row>
    <row r="6" spans="1:6" ht="14.25">
      <c r="A6" s="1">
        <v>3</v>
      </c>
      <c r="B6" s="2" t="s">
        <v>624</v>
      </c>
      <c r="C6" s="15" t="s">
        <v>625</v>
      </c>
      <c r="D6" s="1" t="s">
        <v>606</v>
      </c>
      <c r="E6" s="115">
        <v>95.42162162162163</v>
      </c>
      <c r="F6" s="1" t="s">
        <v>612</v>
      </c>
    </row>
    <row r="7" spans="1:6" ht="14.25">
      <c r="A7" s="16">
        <v>4</v>
      </c>
      <c r="B7" s="533" t="s">
        <v>626</v>
      </c>
      <c r="C7" s="6" t="s">
        <v>627</v>
      </c>
      <c r="D7" s="1" t="s">
        <v>606</v>
      </c>
      <c r="E7" s="115">
        <v>80.376</v>
      </c>
      <c r="F7" s="1" t="s">
        <v>612</v>
      </c>
    </row>
    <row r="8" spans="1:6" ht="14.25">
      <c r="A8" s="1">
        <v>5</v>
      </c>
      <c r="B8" s="533"/>
      <c r="C8" s="6" t="s">
        <v>628</v>
      </c>
      <c r="D8" s="1" t="s">
        <v>606</v>
      </c>
      <c r="E8" s="115">
        <v>482.889</v>
      </c>
      <c r="F8" s="1" t="s">
        <v>612</v>
      </c>
    </row>
    <row r="9" spans="1:6" ht="14.25">
      <c r="A9" s="16">
        <v>6</v>
      </c>
      <c r="B9" s="2" t="s">
        <v>629</v>
      </c>
      <c r="C9" s="6" t="s">
        <v>630</v>
      </c>
      <c r="D9" s="1" t="s">
        <v>606</v>
      </c>
      <c r="E9" s="115">
        <v>778.22</v>
      </c>
      <c r="F9" s="1" t="s">
        <v>612</v>
      </c>
    </row>
    <row r="10" spans="1:6" ht="28.5">
      <c r="A10" s="1">
        <v>7</v>
      </c>
      <c r="B10" s="2" t="s">
        <v>631</v>
      </c>
      <c r="C10" s="6" t="s">
        <v>632</v>
      </c>
      <c r="D10" s="1" t="s">
        <v>606</v>
      </c>
      <c r="E10" s="115">
        <v>1000</v>
      </c>
      <c r="F10" s="1" t="s">
        <v>612</v>
      </c>
    </row>
    <row r="11" spans="1:6" ht="14.25">
      <c r="A11" s="16">
        <v>8</v>
      </c>
      <c r="B11" s="2" t="s">
        <v>633</v>
      </c>
      <c r="C11" s="3" t="s">
        <v>634</v>
      </c>
      <c r="D11" s="1" t="s">
        <v>606</v>
      </c>
      <c r="E11" s="115">
        <v>162.16216216216216</v>
      </c>
      <c r="F11" s="1" t="s">
        <v>612</v>
      </c>
    </row>
    <row r="12" spans="1:6" ht="14.25">
      <c r="A12" s="1">
        <v>9</v>
      </c>
      <c r="B12" s="2" t="s">
        <v>635</v>
      </c>
      <c r="C12" s="3" t="s">
        <v>636</v>
      </c>
      <c r="D12" s="1" t="s">
        <v>606</v>
      </c>
      <c r="E12" s="115">
        <f>888769/3500</f>
        <v>253.934</v>
      </c>
      <c r="F12" s="1" t="s">
        <v>612</v>
      </c>
    </row>
    <row r="13" spans="1:6" ht="28.5">
      <c r="A13" s="16">
        <v>10</v>
      </c>
      <c r="B13" s="2" t="s">
        <v>637</v>
      </c>
      <c r="C13" s="6" t="s">
        <v>638</v>
      </c>
      <c r="D13" s="1" t="s">
        <v>606</v>
      </c>
      <c r="E13" s="115">
        <f>774783/3500</f>
        <v>221.36657142857143</v>
      </c>
      <c r="F13" s="1" t="s">
        <v>612</v>
      </c>
    </row>
    <row r="14" spans="1:6" ht="14.25">
      <c r="A14" s="16">
        <v>11</v>
      </c>
      <c r="B14" s="555" t="s">
        <v>639</v>
      </c>
      <c r="C14" s="6" t="s">
        <v>640</v>
      </c>
      <c r="D14" s="1" t="s">
        <v>606</v>
      </c>
      <c r="E14" s="115">
        <v>375</v>
      </c>
      <c r="F14" s="1" t="s">
        <v>612</v>
      </c>
    </row>
    <row r="15" spans="1:6" s="374" customFormat="1" ht="14.25">
      <c r="A15" s="1">
        <v>12</v>
      </c>
      <c r="B15" s="555"/>
      <c r="C15" s="6" t="s">
        <v>641</v>
      </c>
      <c r="D15" s="1" t="s">
        <v>606</v>
      </c>
      <c r="E15" s="115">
        <v>835</v>
      </c>
      <c r="F15" s="1" t="s">
        <v>612</v>
      </c>
    </row>
    <row r="16" spans="1:6" ht="42.75">
      <c r="A16" s="1">
        <v>13</v>
      </c>
      <c r="B16" s="33" t="s">
        <v>642</v>
      </c>
      <c r="C16" s="39" t="s">
        <v>643</v>
      </c>
      <c r="D16" s="9" t="s">
        <v>606</v>
      </c>
      <c r="E16" s="116">
        <v>415.33675</v>
      </c>
      <c r="F16" s="9" t="s">
        <v>612</v>
      </c>
    </row>
    <row r="17" spans="1:6" ht="28.5">
      <c r="A17" s="1">
        <v>14</v>
      </c>
      <c r="B17" s="555" t="s">
        <v>635</v>
      </c>
      <c r="C17" s="3" t="s">
        <v>644</v>
      </c>
      <c r="D17" s="4" t="s">
        <v>605</v>
      </c>
      <c r="E17" s="115">
        <v>984</v>
      </c>
      <c r="F17" s="1" t="s">
        <v>612</v>
      </c>
    </row>
    <row r="18" spans="1:6" ht="14.25">
      <c r="A18" s="16">
        <v>15</v>
      </c>
      <c r="B18" s="530"/>
      <c r="C18" s="39" t="s">
        <v>645</v>
      </c>
      <c r="D18" s="26" t="s">
        <v>605</v>
      </c>
      <c r="E18" s="117">
        <f>1150/3.5</f>
        <v>328.57142857142856</v>
      </c>
      <c r="F18" s="9" t="s">
        <v>612</v>
      </c>
    </row>
    <row r="19" spans="1:6" ht="15">
      <c r="A19" s="4"/>
      <c r="B19" s="54"/>
      <c r="C19" s="31" t="s">
        <v>646</v>
      </c>
      <c r="D19" s="40"/>
      <c r="E19" s="118">
        <f>SUM(E4:E18)</f>
        <v>7774.285306640928</v>
      </c>
      <c r="F19" s="56"/>
    </row>
    <row r="20" spans="1:6" ht="15">
      <c r="A20" s="178"/>
      <c r="B20" s="54"/>
      <c r="C20" s="31"/>
      <c r="D20" s="40"/>
      <c r="E20" s="186"/>
      <c r="F20" s="56"/>
    </row>
    <row r="21" spans="1:6" ht="15">
      <c r="A21" s="152"/>
      <c r="B21" s="545" t="s">
        <v>139</v>
      </c>
      <c r="C21" s="545"/>
      <c r="D21" s="29"/>
      <c r="E21" s="105"/>
      <c r="F21" s="147"/>
    </row>
    <row r="22" spans="1:6" ht="14.25">
      <c r="A22" s="16">
        <v>1</v>
      </c>
      <c r="B22" s="37" t="s">
        <v>624</v>
      </c>
      <c r="C22" s="37" t="s">
        <v>683</v>
      </c>
      <c r="D22" s="16" t="s">
        <v>672</v>
      </c>
      <c r="E22" s="114">
        <f>350000/3500</f>
        <v>100</v>
      </c>
      <c r="F22" s="38" t="s">
        <v>612</v>
      </c>
    </row>
    <row r="23" spans="1:6" ht="28.5">
      <c r="A23" s="1">
        <v>2</v>
      </c>
      <c r="B23" s="574" t="s">
        <v>639</v>
      </c>
      <c r="C23" s="2" t="s">
        <v>840</v>
      </c>
      <c r="D23" s="1" t="s">
        <v>672</v>
      </c>
      <c r="E23" s="120">
        <f>150000/3500</f>
        <v>42.857142857142854</v>
      </c>
      <c r="F23" s="4" t="s">
        <v>612</v>
      </c>
    </row>
    <row r="24" spans="1:6" ht="14.25">
      <c r="A24" s="16">
        <v>3</v>
      </c>
      <c r="B24" s="575"/>
      <c r="C24" s="389" t="s">
        <v>830</v>
      </c>
      <c r="D24" s="364" t="s">
        <v>606</v>
      </c>
      <c r="E24" s="133">
        <f>100000/3500</f>
        <v>28.571428571428573</v>
      </c>
      <c r="F24" s="41" t="s">
        <v>612</v>
      </c>
    </row>
    <row r="25" spans="1:6" ht="28.5">
      <c r="A25" s="1">
        <v>4</v>
      </c>
      <c r="B25" s="2" t="s">
        <v>626</v>
      </c>
      <c r="C25" s="3" t="s">
        <v>684</v>
      </c>
      <c r="D25" s="1" t="s">
        <v>672</v>
      </c>
      <c r="E25" s="119">
        <v>60</v>
      </c>
      <c r="F25" s="14" t="s">
        <v>612</v>
      </c>
    </row>
    <row r="26" spans="1:6" ht="14.25">
      <c r="A26" s="16">
        <v>5</v>
      </c>
      <c r="B26" s="574" t="s">
        <v>659</v>
      </c>
      <c r="C26" s="6" t="s">
        <v>685</v>
      </c>
      <c r="D26" s="1" t="s">
        <v>605</v>
      </c>
      <c r="E26" s="119">
        <v>8.64864864864865</v>
      </c>
      <c r="F26" s="14" t="s">
        <v>614</v>
      </c>
    </row>
    <row r="27" spans="1:6" ht="14.25">
      <c r="A27" s="1">
        <v>6</v>
      </c>
      <c r="B27" s="546"/>
      <c r="C27" s="6" t="s">
        <v>686</v>
      </c>
      <c r="D27" s="1" t="s">
        <v>605</v>
      </c>
      <c r="E27" s="119">
        <v>27.027027027027028</v>
      </c>
      <c r="F27" s="14" t="s">
        <v>614</v>
      </c>
    </row>
    <row r="28" spans="1:6" ht="14.25">
      <c r="A28" s="41">
        <v>7</v>
      </c>
      <c r="B28" s="546"/>
      <c r="C28" s="85" t="s">
        <v>687</v>
      </c>
      <c r="D28" s="9" t="s">
        <v>605</v>
      </c>
      <c r="E28" s="123">
        <v>48.648648648648646</v>
      </c>
      <c r="F28" s="36" t="s">
        <v>614</v>
      </c>
    </row>
    <row r="29" spans="1:6" ht="15">
      <c r="A29" s="145"/>
      <c r="B29" s="53"/>
      <c r="C29" s="47" t="s">
        <v>140</v>
      </c>
      <c r="D29" s="266"/>
      <c r="E29" s="144">
        <f>SUM(E22:E28)</f>
        <v>315.75289575289577</v>
      </c>
      <c r="F29" s="103"/>
    </row>
    <row r="30" spans="1:6" ht="15">
      <c r="A30" s="178"/>
      <c r="B30" s="54"/>
      <c r="C30" s="31"/>
      <c r="D30" s="40"/>
      <c r="E30" s="186"/>
      <c r="F30" s="56"/>
    </row>
    <row r="31" spans="1:6" ht="15" customHeight="1">
      <c r="A31" s="11"/>
      <c r="B31" s="545" t="s">
        <v>647</v>
      </c>
      <c r="C31" s="545"/>
      <c r="D31" s="57"/>
      <c r="E31" s="105"/>
      <c r="F31" s="110"/>
    </row>
    <row r="32" spans="1:6" ht="28.5">
      <c r="A32" s="59">
        <v>1</v>
      </c>
      <c r="B32" s="60" t="s">
        <v>622</v>
      </c>
      <c r="C32" s="109" t="s">
        <v>648</v>
      </c>
      <c r="D32" s="62" t="s">
        <v>606</v>
      </c>
      <c r="E32" s="106">
        <f>7000/3500</f>
        <v>2</v>
      </c>
      <c r="F32" s="1" t="s">
        <v>613</v>
      </c>
    </row>
    <row r="33" spans="1:6" ht="28.5">
      <c r="A33" s="59">
        <v>2</v>
      </c>
      <c r="B33" s="60" t="s">
        <v>649</v>
      </c>
      <c r="C33" s="61" t="s">
        <v>650</v>
      </c>
      <c r="D33" s="62" t="s">
        <v>606</v>
      </c>
      <c r="E33" s="106">
        <v>844</v>
      </c>
      <c r="F33" s="1" t="s">
        <v>613</v>
      </c>
    </row>
    <row r="34" spans="1:6" ht="28.5">
      <c r="A34" s="59">
        <v>3</v>
      </c>
      <c r="B34" s="60" t="s">
        <v>651</v>
      </c>
      <c r="C34" s="6" t="s">
        <v>652</v>
      </c>
      <c r="D34" s="1" t="s">
        <v>606</v>
      </c>
      <c r="E34" s="119">
        <v>4116</v>
      </c>
      <c r="F34" s="1" t="s">
        <v>613</v>
      </c>
    </row>
    <row r="35" spans="1:6" ht="42.75">
      <c r="A35" s="59">
        <v>4</v>
      </c>
      <c r="B35" s="60" t="s">
        <v>653</v>
      </c>
      <c r="C35" s="2" t="s">
        <v>654</v>
      </c>
      <c r="D35" s="1" t="s">
        <v>606</v>
      </c>
      <c r="E35" s="120">
        <v>2295</v>
      </c>
      <c r="F35" s="1" t="s">
        <v>613</v>
      </c>
    </row>
    <row r="36" spans="1:6" ht="28.5">
      <c r="A36" s="58">
        <v>5</v>
      </c>
      <c r="B36" s="63" t="s">
        <v>655</v>
      </c>
      <c r="C36" s="64" t="s">
        <v>656</v>
      </c>
      <c r="D36" s="65" t="s">
        <v>606</v>
      </c>
      <c r="E36" s="121">
        <v>928.47</v>
      </c>
      <c r="F36" s="9" t="s">
        <v>613</v>
      </c>
    </row>
    <row r="37" spans="1:6" ht="14.25">
      <c r="A37" s="59">
        <v>6</v>
      </c>
      <c r="B37" s="66" t="s">
        <v>624</v>
      </c>
      <c r="C37" s="3" t="s">
        <v>657</v>
      </c>
      <c r="D37" s="12" t="s">
        <v>608</v>
      </c>
      <c r="E37" s="119"/>
      <c r="F37" s="14" t="s">
        <v>613</v>
      </c>
    </row>
    <row r="38" spans="1:6" ht="14.25">
      <c r="A38" s="59">
        <v>7</v>
      </c>
      <c r="B38" s="66" t="s">
        <v>633</v>
      </c>
      <c r="C38" s="3" t="s">
        <v>658</v>
      </c>
      <c r="D38" s="12" t="s">
        <v>608</v>
      </c>
      <c r="E38" s="119"/>
      <c r="F38" s="14" t="s">
        <v>613</v>
      </c>
    </row>
    <row r="39" spans="1:6" ht="14.25">
      <c r="A39" s="58">
        <v>8</v>
      </c>
      <c r="B39" s="66" t="s">
        <v>659</v>
      </c>
      <c r="C39" s="5" t="s">
        <v>660</v>
      </c>
      <c r="D39" s="4" t="s">
        <v>608</v>
      </c>
      <c r="E39" s="122">
        <f>7000000/3500</f>
        <v>2000</v>
      </c>
      <c r="F39" s="14" t="s">
        <v>613</v>
      </c>
    </row>
    <row r="40" spans="1:6" ht="14.25">
      <c r="A40" s="59">
        <v>9</v>
      </c>
      <c r="B40" s="67" t="s">
        <v>637</v>
      </c>
      <c r="C40" s="39" t="s">
        <v>661</v>
      </c>
      <c r="D40" s="34" t="s">
        <v>608</v>
      </c>
      <c r="E40" s="123"/>
      <c r="F40" s="36" t="s">
        <v>613</v>
      </c>
    </row>
    <row r="41" spans="1:6" ht="14.25">
      <c r="A41" s="59">
        <v>10</v>
      </c>
      <c r="B41" s="67" t="s">
        <v>639</v>
      </c>
      <c r="C41" s="39" t="s">
        <v>845</v>
      </c>
      <c r="D41" s="34" t="s">
        <v>608</v>
      </c>
      <c r="E41" s="123"/>
      <c r="F41" s="36" t="s">
        <v>613</v>
      </c>
    </row>
    <row r="42" spans="1:6" ht="15">
      <c r="A42" s="68"/>
      <c r="B42" s="69"/>
      <c r="C42" s="31" t="s">
        <v>662</v>
      </c>
      <c r="D42" s="70"/>
      <c r="E42" s="124">
        <f>SUM(E32:E41)</f>
        <v>10185.470000000001</v>
      </c>
      <c r="F42" s="71"/>
    </row>
    <row r="43" spans="1:6" ht="15">
      <c r="A43" s="484"/>
      <c r="B43" s="69"/>
      <c r="C43" s="31"/>
      <c r="D43" s="70"/>
      <c r="E43" s="485"/>
      <c r="F43" s="71"/>
    </row>
    <row r="44" spans="1:6" ht="15">
      <c r="A44" s="11"/>
      <c r="B44" s="545" t="s">
        <v>136</v>
      </c>
      <c r="C44" s="545"/>
      <c r="D44" s="29"/>
      <c r="E44" s="105"/>
      <c r="F44" s="10"/>
    </row>
    <row r="45" spans="1:6" ht="14.25">
      <c r="A45" s="16">
        <v>1</v>
      </c>
      <c r="B45" s="37" t="s">
        <v>624</v>
      </c>
      <c r="C45" s="18" t="s">
        <v>663</v>
      </c>
      <c r="D45" s="16" t="s">
        <v>606</v>
      </c>
      <c r="E45" s="114">
        <v>1334.2</v>
      </c>
      <c r="F45" s="38" t="s">
        <v>613</v>
      </c>
    </row>
    <row r="46" spans="1:6" ht="28.5">
      <c r="A46" s="1">
        <v>2</v>
      </c>
      <c r="B46" s="2" t="s">
        <v>649</v>
      </c>
      <c r="C46" s="3" t="s">
        <v>664</v>
      </c>
      <c r="D46" s="1" t="s">
        <v>606</v>
      </c>
      <c r="E46" s="120">
        <v>1540</v>
      </c>
      <c r="F46" s="14" t="s">
        <v>613</v>
      </c>
    </row>
    <row r="47" spans="1:6" ht="14.25">
      <c r="A47" s="1">
        <v>3</v>
      </c>
      <c r="B47" s="2" t="s">
        <v>631</v>
      </c>
      <c r="C47" s="3" t="s">
        <v>665</v>
      </c>
      <c r="D47" s="1" t="s">
        <v>607</v>
      </c>
      <c r="E47" s="120">
        <v>284</v>
      </c>
      <c r="F47" s="14" t="s">
        <v>613</v>
      </c>
    </row>
    <row r="48" spans="1:6" ht="14.25">
      <c r="A48" s="1">
        <v>4</v>
      </c>
      <c r="B48" s="2" t="s">
        <v>635</v>
      </c>
      <c r="C48" s="3" t="s">
        <v>666</v>
      </c>
      <c r="D48" s="1" t="s">
        <v>606</v>
      </c>
      <c r="E48" s="120">
        <f>70000/3500</f>
        <v>20</v>
      </c>
      <c r="F48" s="14" t="s">
        <v>613</v>
      </c>
    </row>
    <row r="49" spans="1:6" ht="14.25">
      <c r="A49" s="4">
        <v>5</v>
      </c>
      <c r="B49" s="574" t="s">
        <v>659</v>
      </c>
      <c r="C49" s="3" t="s">
        <v>667</v>
      </c>
      <c r="D49" s="4" t="s">
        <v>606</v>
      </c>
      <c r="E49" s="120">
        <v>943</v>
      </c>
      <c r="F49" s="14" t="s">
        <v>613</v>
      </c>
    </row>
    <row r="50" spans="1:6" ht="14.25">
      <c r="A50" s="16">
        <v>6</v>
      </c>
      <c r="B50" s="546"/>
      <c r="C50" s="3" t="s">
        <v>668</v>
      </c>
      <c r="D50" s="4" t="s">
        <v>608</v>
      </c>
      <c r="E50" s="120">
        <v>2995.5</v>
      </c>
      <c r="F50" s="14" t="s">
        <v>613</v>
      </c>
    </row>
    <row r="51" spans="1:6" ht="14.25">
      <c r="A51" s="16">
        <v>7</v>
      </c>
      <c r="B51" s="575"/>
      <c r="C51" s="5" t="s">
        <v>669</v>
      </c>
      <c r="D51" s="4" t="s">
        <v>608</v>
      </c>
      <c r="E51" s="122">
        <f>8500000/3500</f>
        <v>2428.5714285714284</v>
      </c>
      <c r="F51" s="14" t="s">
        <v>613</v>
      </c>
    </row>
    <row r="52" spans="1:6" ht="14.25">
      <c r="A52" s="16">
        <v>8</v>
      </c>
      <c r="B52" s="530" t="s">
        <v>653</v>
      </c>
      <c r="C52" s="3" t="s">
        <v>609</v>
      </c>
      <c r="D52" s="4" t="s">
        <v>608</v>
      </c>
      <c r="E52" s="120">
        <v>965.12</v>
      </c>
      <c r="F52" s="14" t="s">
        <v>613</v>
      </c>
    </row>
    <row r="53" spans="1:6" ht="14.25">
      <c r="A53" s="9">
        <v>9</v>
      </c>
      <c r="B53" s="531"/>
      <c r="C53" s="39" t="s">
        <v>610</v>
      </c>
      <c r="D53" s="26" t="s">
        <v>608</v>
      </c>
      <c r="E53" s="116">
        <v>723.84</v>
      </c>
      <c r="F53" s="36" t="s">
        <v>613</v>
      </c>
    </row>
    <row r="54" spans="1:6" ht="14.25">
      <c r="A54" s="1">
        <v>10</v>
      </c>
      <c r="B54" s="160" t="s">
        <v>639</v>
      </c>
      <c r="C54" s="3" t="s">
        <v>846</v>
      </c>
      <c r="D54" s="4" t="s">
        <v>608</v>
      </c>
      <c r="E54" s="120"/>
      <c r="F54" s="14" t="s">
        <v>613</v>
      </c>
    </row>
    <row r="55" spans="1:6" ht="15">
      <c r="A55" s="4"/>
      <c r="B55" s="54"/>
      <c r="C55" s="31" t="s">
        <v>670</v>
      </c>
      <c r="D55" s="383"/>
      <c r="E55" s="179">
        <f>SUM(E45:E54)</f>
        <v>11234.23142857143</v>
      </c>
      <c r="F55" s="80"/>
    </row>
    <row r="56" spans="1:6" ht="15">
      <c r="A56" s="178"/>
      <c r="B56" s="54"/>
      <c r="C56" s="31"/>
      <c r="D56" s="32"/>
      <c r="E56" s="353"/>
      <c r="F56" s="71"/>
    </row>
    <row r="57" spans="1:6" ht="15" customHeight="1">
      <c r="A57" s="11"/>
      <c r="B57" s="579" t="s">
        <v>513</v>
      </c>
      <c r="C57" s="579"/>
      <c r="D57" s="29"/>
      <c r="E57" s="105"/>
      <c r="F57" s="73"/>
    </row>
    <row r="58" spans="1:6" ht="42.75">
      <c r="A58" s="27">
        <v>1</v>
      </c>
      <c r="B58" s="52" t="s">
        <v>622</v>
      </c>
      <c r="C58" s="74" t="s">
        <v>671</v>
      </c>
      <c r="D58" s="16" t="s">
        <v>672</v>
      </c>
      <c r="E58" s="125">
        <v>148.648648648649</v>
      </c>
      <c r="F58" s="75" t="s">
        <v>612</v>
      </c>
    </row>
    <row r="59" spans="1:6" ht="28.5">
      <c r="A59" s="4">
        <v>2</v>
      </c>
      <c r="B59" s="2" t="s">
        <v>626</v>
      </c>
      <c r="C59" s="3" t="s">
        <v>673</v>
      </c>
      <c r="D59" s="16" t="s">
        <v>672</v>
      </c>
      <c r="E59" s="115">
        <v>83.7837837837838</v>
      </c>
      <c r="F59" s="76" t="s">
        <v>612</v>
      </c>
    </row>
    <row r="60" spans="1:6" ht="28.5">
      <c r="A60" s="4">
        <v>3</v>
      </c>
      <c r="B60" s="2" t="s">
        <v>633</v>
      </c>
      <c r="C60" s="3" t="s">
        <v>674</v>
      </c>
      <c r="D60" s="16" t="s">
        <v>672</v>
      </c>
      <c r="E60" s="115">
        <v>67.5675675675676</v>
      </c>
      <c r="F60" s="76" t="s">
        <v>612</v>
      </c>
    </row>
    <row r="61" spans="1:6" ht="28.5">
      <c r="A61" s="26">
        <v>4</v>
      </c>
      <c r="B61" s="77" t="s">
        <v>635</v>
      </c>
      <c r="C61" s="78" t="s">
        <v>675</v>
      </c>
      <c r="D61" s="16" t="s">
        <v>672</v>
      </c>
      <c r="E61" s="117">
        <v>156.756756756757</v>
      </c>
      <c r="F61" s="79" t="s">
        <v>612</v>
      </c>
    </row>
    <row r="62" spans="1:6" ht="16.5">
      <c r="A62" s="4">
        <v>5</v>
      </c>
      <c r="B62" s="232" t="s">
        <v>639</v>
      </c>
      <c r="C62" s="401" t="s">
        <v>847</v>
      </c>
      <c r="D62" s="1" t="s">
        <v>605</v>
      </c>
      <c r="E62" s="115"/>
      <c r="F62" s="76" t="s">
        <v>612</v>
      </c>
    </row>
    <row r="63" spans="1:6" ht="15">
      <c r="A63" s="80"/>
      <c r="B63" s="559" t="s">
        <v>515</v>
      </c>
      <c r="C63" s="559"/>
      <c r="D63" s="560"/>
      <c r="E63" s="126">
        <f>SUM(E58:E62)</f>
        <v>456.7567567567574</v>
      </c>
      <c r="F63" s="81"/>
    </row>
    <row r="64" spans="1:6" ht="15">
      <c r="A64" s="486"/>
      <c r="B64" s="167"/>
      <c r="C64" s="167"/>
      <c r="D64" s="167"/>
      <c r="E64" s="132"/>
      <c r="F64" s="81"/>
    </row>
    <row r="65" spans="1:6" ht="15" customHeight="1">
      <c r="A65" s="11"/>
      <c r="B65" s="567" t="s">
        <v>878</v>
      </c>
      <c r="C65" s="567"/>
      <c r="D65" s="29"/>
      <c r="E65" s="105"/>
      <c r="F65" s="10"/>
    </row>
    <row r="66" spans="1:6" ht="28.5">
      <c r="A66" s="1">
        <v>1</v>
      </c>
      <c r="B66" s="2" t="s">
        <v>659</v>
      </c>
      <c r="C66" s="3" t="s">
        <v>778</v>
      </c>
      <c r="D66" s="16" t="s">
        <v>672</v>
      </c>
      <c r="E66" s="119">
        <v>162.16</v>
      </c>
      <c r="F66" s="14" t="s">
        <v>612</v>
      </c>
    </row>
    <row r="67" spans="1:6" ht="14.25">
      <c r="A67" s="16">
        <v>2</v>
      </c>
      <c r="B67" s="37" t="s">
        <v>620</v>
      </c>
      <c r="C67" s="18" t="s">
        <v>775</v>
      </c>
      <c r="D67" s="16" t="s">
        <v>672</v>
      </c>
      <c r="E67" s="128">
        <v>253.98</v>
      </c>
      <c r="F67" s="38" t="s">
        <v>612</v>
      </c>
    </row>
    <row r="68" spans="1:6" ht="14.25">
      <c r="A68" s="16">
        <v>3</v>
      </c>
      <c r="B68" s="574" t="s">
        <v>639</v>
      </c>
      <c r="C68" s="18" t="s">
        <v>833</v>
      </c>
      <c r="D68" s="16" t="s">
        <v>606</v>
      </c>
      <c r="E68" s="128">
        <f>250000/3500</f>
        <v>71.42857142857143</v>
      </c>
      <c r="F68" s="38" t="s">
        <v>612</v>
      </c>
    </row>
    <row r="69" spans="1:6" ht="14.25">
      <c r="A69" s="16">
        <v>4</v>
      </c>
      <c r="B69" s="546"/>
      <c r="C69" s="18" t="s">
        <v>832</v>
      </c>
      <c r="D69" s="16" t="s">
        <v>606</v>
      </c>
      <c r="E69" s="128">
        <f>700000/3500</f>
        <v>200</v>
      </c>
      <c r="F69" s="38" t="s">
        <v>612</v>
      </c>
    </row>
    <row r="70" spans="1:6" ht="14.25">
      <c r="A70" s="16">
        <v>5</v>
      </c>
      <c r="B70" s="546"/>
      <c r="C70" s="18" t="s">
        <v>834</v>
      </c>
      <c r="D70" s="1" t="s">
        <v>605</v>
      </c>
      <c r="E70" s="128">
        <f>250000/3500</f>
        <v>71.42857142857143</v>
      </c>
      <c r="F70" s="38" t="s">
        <v>612</v>
      </c>
    </row>
    <row r="71" spans="1:6" ht="14.25">
      <c r="A71" s="16">
        <v>6</v>
      </c>
      <c r="B71" s="546"/>
      <c r="C71" s="18" t="s">
        <v>836</v>
      </c>
      <c r="D71" s="1" t="s">
        <v>605</v>
      </c>
      <c r="E71" s="128">
        <f>250000/3500</f>
        <v>71.42857142857143</v>
      </c>
      <c r="F71" s="38" t="s">
        <v>612</v>
      </c>
    </row>
    <row r="72" spans="1:6" ht="14.25">
      <c r="A72" s="16">
        <v>7</v>
      </c>
      <c r="B72" s="575"/>
      <c r="C72" s="18" t="s">
        <v>835</v>
      </c>
      <c r="D72" s="1" t="s">
        <v>605</v>
      </c>
      <c r="E72" s="128">
        <f>250000/3500</f>
        <v>71.42857142857143</v>
      </c>
      <c r="F72" s="38" t="s">
        <v>612</v>
      </c>
    </row>
    <row r="73" spans="1:6" ht="28.5">
      <c r="A73" s="1">
        <v>8</v>
      </c>
      <c r="B73" s="2" t="s">
        <v>629</v>
      </c>
      <c r="C73" s="3" t="s">
        <v>776</v>
      </c>
      <c r="D73" s="1" t="s">
        <v>605</v>
      </c>
      <c r="E73" s="119">
        <f>50000/3500</f>
        <v>14.285714285714286</v>
      </c>
      <c r="F73" s="14" t="s">
        <v>612</v>
      </c>
    </row>
    <row r="74" spans="1:6" ht="14.25">
      <c r="A74" s="1">
        <v>9</v>
      </c>
      <c r="B74" s="569" t="s">
        <v>637</v>
      </c>
      <c r="C74" s="3" t="s">
        <v>777</v>
      </c>
      <c r="D74" s="1" t="s">
        <v>605</v>
      </c>
      <c r="E74" s="119"/>
      <c r="F74" s="14" t="s">
        <v>612</v>
      </c>
    </row>
    <row r="75" spans="1:6" ht="14.25">
      <c r="A75" s="1">
        <v>10</v>
      </c>
      <c r="B75" s="535"/>
      <c r="C75" s="3" t="s">
        <v>779</v>
      </c>
      <c r="D75" s="1" t="s">
        <v>605</v>
      </c>
      <c r="E75" s="119">
        <f>50000/3500</f>
        <v>14.285714285714286</v>
      </c>
      <c r="F75" s="14" t="s">
        <v>612</v>
      </c>
    </row>
    <row r="76" spans="1:6" ht="14.25">
      <c r="A76" s="1">
        <v>11</v>
      </c>
      <c r="B76" s="570"/>
      <c r="C76" s="3" t="s">
        <v>780</v>
      </c>
      <c r="D76" s="1" t="s">
        <v>605</v>
      </c>
      <c r="E76" s="119">
        <f>50000/3500</f>
        <v>14.285714285714286</v>
      </c>
      <c r="F76" s="14" t="s">
        <v>612</v>
      </c>
    </row>
    <row r="77" spans="1:6" ht="14.25">
      <c r="A77" s="9">
        <v>12</v>
      </c>
      <c r="B77" s="42" t="s">
        <v>642</v>
      </c>
      <c r="C77" s="39" t="s">
        <v>781</v>
      </c>
      <c r="D77" s="9" t="s">
        <v>605</v>
      </c>
      <c r="E77" s="123">
        <f>100000/3500</f>
        <v>28.571428571428573</v>
      </c>
      <c r="F77" s="36" t="s">
        <v>612</v>
      </c>
    </row>
    <row r="78" spans="1:6" ht="15">
      <c r="A78" s="411"/>
      <c r="B78" s="568" t="s">
        <v>886</v>
      </c>
      <c r="C78" s="559"/>
      <c r="D78" s="560"/>
      <c r="E78" s="118">
        <f>SUM(E66:E77)</f>
        <v>973.2828571428573</v>
      </c>
      <c r="F78" s="80"/>
    </row>
    <row r="79" spans="1:6" ht="15">
      <c r="A79" s="487"/>
      <c r="B79" s="167"/>
      <c r="C79" s="167"/>
      <c r="D79" s="167"/>
      <c r="E79" s="186"/>
      <c r="F79" s="71"/>
    </row>
    <row r="80" spans="1:6" ht="15" customHeight="1">
      <c r="A80" s="11"/>
      <c r="B80" s="567" t="s">
        <v>887</v>
      </c>
      <c r="C80" s="567"/>
      <c r="D80" s="29"/>
      <c r="E80" s="105"/>
      <c r="F80" s="10"/>
    </row>
    <row r="81" spans="1:6" s="374" customFormat="1" ht="14.25">
      <c r="A81" s="1">
        <v>1</v>
      </c>
      <c r="B81" s="2" t="s">
        <v>639</v>
      </c>
      <c r="C81" s="2" t="s">
        <v>831</v>
      </c>
      <c r="D81" s="1" t="s">
        <v>606</v>
      </c>
      <c r="E81" s="120">
        <f>200000/3500</f>
        <v>57.142857142857146</v>
      </c>
      <c r="F81" s="50" t="s">
        <v>612</v>
      </c>
    </row>
    <row r="82" spans="1:6" ht="14.25">
      <c r="A82" s="82">
        <v>2</v>
      </c>
      <c r="B82" s="83" t="s">
        <v>629</v>
      </c>
      <c r="C82" s="84" t="s">
        <v>676</v>
      </c>
      <c r="D82" s="82" t="s">
        <v>605</v>
      </c>
      <c r="E82" s="129">
        <f>75000/3500</f>
        <v>21.428571428571427</v>
      </c>
      <c r="F82" s="50" t="s">
        <v>612</v>
      </c>
    </row>
    <row r="83" spans="1:6" ht="15">
      <c r="A83" s="80"/>
      <c r="B83" s="140"/>
      <c r="C83" s="194" t="s">
        <v>902</v>
      </c>
      <c r="D83" s="71"/>
      <c r="E83" s="144">
        <f>SUM(E81:E82)</f>
        <v>78.57142857142857</v>
      </c>
      <c r="F83" s="80"/>
    </row>
    <row r="84" spans="1:6" ht="15">
      <c r="A84" s="486"/>
      <c r="B84" s="512"/>
      <c r="C84" s="194"/>
      <c r="D84" s="513"/>
      <c r="E84" s="217"/>
      <c r="F84" s="80"/>
    </row>
    <row r="85" spans="1:6" ht="15">
      <c r="A85" s="44"/>
      <c r="B85" s="573" t="s">
        <v>137</v>
      </c>
      <c r="C85" s="573"/>
      <c r="D85" s="45"/>
      <c r="E85" s="105"/>
      <c r="F85" s="108"/>
    </row>
    <row r="86" spans="1:6" ht="14.25">
      <c r="A86" s="429">
        <v>1</v>
      </c>
      <c r="B86" s="157" t="s">
        <v>639</v>
      </c>
      <c r="C86" s="6" t="s">
        <v>677</v>
      </c>
      <c r="D86" s="92" t="s">
        <v>606</v>
      </c>
      <c r="E86" s="428">
        <f>200000/3500</f>
        <v>57.142857142857146</v>
      </c>
      <c r="F86" s="14" t="s">
        <v>612</v>
      </c>
    </row>
    <row r="87" spans="1:6" ht="14.25">
      <c r="A87" s="16">
        <v>2</v>
      </c>
      <c r="B87" s="37" t="s">
        <v>624</v>
      </c>
      <c r="C87" s="43" t="s">
        <v>677</v>
      </c>
      <c r="D87" s="16" t="s">
        <v>605</v>
      </c>
      <c r="E87" s="128">
        <f>25000/3500</f>
        <v>7.142857142857143</v>
      </c>
      <c r="F87" s="38" t="s">
        <v>612</v>
      </c>
    </row>
    <row r="88" spans="1:6" ht="14.25">
      <c r="A88" s="1">
        <v>3</v>
      </c>
      <c r="B88" s="2" t="s">
        <v>631</v>
      </c>
      <c r="C88" s="6" t="s">
        <v>678</v>
      </c>
      <c r="D88" s="1" t="s">
        <v>605</v>
      </c>
      <c r="E88" s="119">
        <f>300000/3500</f>
        <v>85.71428571428571</v>
      </c>
      <c r="F88" s="14" t="s">
        <v>612</v>
      </c>
    </row>
    <row r="89" spans="1:6" ht="14.25">
      <c r="A89" s="1">
        <v>4</v>
      </c>
      <c r="B89" s="2" t="s">
        <v>659</v>
      </c>
      <c r="C89" s="3" t="s">
        <v>679</v>
      </c>
      <c r="D89" s="1" t="s">
        <v>605</v>
      </c>
      <c r="E89" s="119">
        <v>32.43</v>
      </c>
      <c r="F89" s="14" t="s">
        <v>614</v>
      </c>
    </row>
    <row r="90" spans="1:6" ht="14.25">
      <c r="A90" s="9">
        <v>5</v>
      </c>
      <c r="B90" s="33" t="s">
        <v>637</v>
      </c>
      <c r="C90" s="85" t="s">
        <v>680</v>
      </c>
      <c r="D90" s="9" t="s">
        <v>605</v>
      </c>
      <c r="E90" s="123"/>
      <c r="F90" s="36" t="s">
        <v>612</v>
      </c>
    </row>
    <row r="91" spans="1:6" ht="15">
      <c r="A91" s="86"/>
      <c r="B91" s="87"/>
      <c r="C91" s="47" t="s">
        <v>138</v>
      </c>
      <c r="D91" s="88"/>
      <c r="E91" s="144">
        <f>SUM(E86:E90)</f>
        <v>182.43</v>
      </c>
      <c r="F91" s="89"/>
    </row>
    <row r="92" spans="1:6" ht="15">
      <c r="A92" s="156"/>
      <c r="B92" s="87"/>
      <c r="C92" s="47"/>
      <c r="D92" s="88"/>
      <c r="E92" s="217"/>
      <c r="F92" s="89"/>
    </row>
    <row r="93" spans="1:6" ht="15">
      <c r="A93" s="44"/>
      <c r="B93" s="573" t="s">
        <v>141</v>
      </c>
      <c r="C93" s="573"/>
      <c r="D93" s="45"/>
      <c r="E93" s="113"/>
      <c r="F93" s="10"/>
    </row>
    <row r="94" spans="1:6" ht="14.25">
      <c r="A94" s="92">
        <v>1</v>
      </c>
      <c r="B94" s="491" t="s">
        <v>639</v>
      </c>
      <c r="C94" s="100" t="s">
        <v>793</v>
      </c>
      <c r="D94" s="92" t="s">
        <v>606</v>
      </c>
      <c r="E94" s="119">
        <v>13.513513513513514</v>
      </c>
      <c r="F94" s="1" t="s">
        <v>784</v>
      </c>
    </row>
    <row r="95" spans="1:6" ht="14.25">
      <c r="A95" s="92">
        <v>2</v>
      </c>
      <c r="B95" s="492"/>
      <c r="C95" s="100" t="s">
        <v>842</v>
      </c>
      <c r="D95" s="92" t="s">
        <v>606</v>
      </c>
      <c r="E95" s="119">
        <f>300000/3500</f>
        <v>85.71428571428571</v>
      </c>
      <c r="F95" s="1"/>
    </row>
    <row r="96" spans="1:6" ht="14.25">
      <c r="A96" s="92">
        <v>3</v>
      </c>
      <c r="B96" s="492"/>
      <c r="C96" s="100" t="s">
        <v>837</v>
      </c>
      <c r="D96" s="92" t="s">
        <v>606</v>
      </c>
      <c r="E96" s="119">
        <f>200000/3500</f>
        <v>57.142857142857146</v>
      </c>
      <c r="F96" s="1" t="s">
        <v>784</v>
      </c>
    </row>
    <row r="97" spans="1:6" ht="14.25">
      <c r="A97" s="92">
        <v>4</v>
      </c>
      <c r="B97" s="492"/>
      <c r="C97" s="100" t="s">
        <v>794</v>
      </c>
      <c r="D97" s="92" t="s">
        <v>606</v>
      </c>
      <c r="E97" s="119">
        <v>18.91891891891892</v>
      </c>
      <c r="F97" s="1" t="s">
        <v>784</v>
      </c>
    </row>
    <row r="98" spans="1:6" ht="28.5">
      <c r="A98" s="92">
        <v>5</v>
      </c>
      <c r="B98" s="493"/>
      <c r="C98" s="100" t="s">
        <v>839</v>
      </c>
      <c r="D98" s="92" t="s">
        <v>605</v>
      </c>
      <c r="E98" s="119"/>
      <c r="F98" s="1" t="s">
        <v>838</v>
      </c>
    </row>
    <row r="99" spans="1:6" ht="14.25">
      <c r="A99" s="92">
        <v>6</v>
      </c>
      <c r="B99" s="157" t="s">
        <v>653</v>
      </c>
      <c r="C99" s="100" t="s">
        <v>797</v>
      </c>
      <c r="D99" s="1" t="s">
        <v>672</v>
      </c>
      <c r="E99" s="119">
        <f>600000/3500</f>
        <v>171.42857142857142</v>
      </c>
      <c r="F99" s="1" t="s">
        <v>784</v>
      </c>
    </row>
    <row r="100" spans="1:6" ht="14.25">
      <c r="A100" s="92">
        <v>7</v>
      </c>
      <c r="B100" s="490" t="s">
        <v>629</v>
      </c>
      <c r="C100" s="100" t="s">
        <v>786</v>
      </c>
      <c r="D100" s="92" t="s">
        <v>606</v>
      </c>
      <c r="E100" s="119">
        <f>709700/3500</f>
        <v>202.77142857142857</v>
      </c>
      <c r="F100" s="1" t="s">
        <v>784</v>
      </c>
    </row>
    <row r="101" spans="1:6" ht="28.5">
      <c r="A101" s="92">
        <v>8</v>
      </c>
      <c r="B101" s="490"/>
      <c r="C101" s="100" t="s">
        <v>785</v>
      </c>
      <c r="D101" s="92" t="s">
        <v>605</v>
      </c>
      <c r="E101" s="119">
        <f>60000/3500</f>
        <v>17.142857142857142</v>
      </c>
      <c r="F101" s="1" t="s">
        <v>784</v>
      </c>
    </row>
    <row r="102" spans="1:6" ht="28.5">
      <c r="A102" s="92">
        <v>9</v>
      </c>
      <c r="B102" s="489" t="s">
        <v>659</v>
      </c>
      <c r="C102" s="100" t="s">
        <v>787</v>
      </c>
      <c r="D102" s="92" t="s">
        <v>605</v>
      </c>
      <c r="E102" s="119">
        <v>675.6756756756756</v>
      </c>
      <c r="F102" s="1" t="s">
        <v>784</v>
      </c>
    </row>
    <row r="103" spans="1:6" ht="14.25">
      <c r="A103" s="92">
        <v>10</v>
      </c>
      <c r="B103" s="489"/>
      <c r="C103" s="100" t="s">
        <v>788</v>
      </c>
      <c r="D103" s="92" t="s">
        <v>605</v>
      </c>
      <c r="E103" s="119">
        <v>540.5405405405405</v>
      </c>
      <c r="F103" s="1" t="s">
        <v>784</v>
      </c>
    </row>
    <row r="104" spans="1:6" ht="14.25">
      <c r="A104" s="92">
        <v>11</v>
      </c>
      <c r="B104" s="489"/>
      <c r="C104" s="100" t="s">
        <v>789</v>
      </c>
      <c r="D104" s="92" t="s">
        <v>605</v>
      </c>
      <c r="E104" s="119">
        <v>405.4054054054054</v>
      </c>
      <c r="F104" s="1" t="s">
        <v>784</v>
      </c>
    </row>
    <row r="105" spans="1:6" ht="14.25">
      <c r="A105" s="92">
        <v>12</v>
      </c>
      <c r="B105" s="489"/>
      <c r="C105" s="100" t="s">
        <v>790</v>
      </c>
      <c r="D105" s="92" t="s">
        <v>605</v>
      </c>
      <c r="E105" s="119">
        <v>297.2972972972973</v>
      </c>
      <c r="F105" s="1" t="s">
        <v>784</v>
      </c>
    </row>
    <row r="106" spans="1:6" ht="14.25">
      <c r="A106" s="92">
        <v>13</v>
      </c>
      <c r="B106" s="489" t="s">
        <v>637</v>
      </c>
      <c r="C106" s="100" t="s">
        <v>791</v>
      </c>
      <c r="D106" s="92" t="s">
        <v>605</v>
      </c>
      <c r="E106" s="119">
        <f>50000/3500</f>
        <v>14.285714285714286</v>
      </c>
      <c r="F106" s="1" t="s">
        <v>784</v>
      </c>
    </row>
    <row r="107" spans="1:6" ht="14.25">
      <c r="A107" s="92">
        <v>14</v>
      </c>
      <c r="B107" s="489"/>
      <c r="C107" s="100" t="s">
        <v>792</v>
      </c>
      <c r="D107" s="92" t="s">
        <v>605</v>
      </c>
      <c r="E107" s="119">
        <f>50000/3500</f>
        <v>14.285714285714286</v>
      </c>
      <c r="F107" s="1" t="s">
        <v>784</v>
      </c>
    </row>
    <row r="108" spans="1:6" ht="28.5">
      <c r="A108" s="92">
        <v>15</v>
      </c>
      <c r="B108" s="157" t="s">
        <v>622</v>
      </c>
      <c r="C108" s="157" t="s">
        <v>783</v>
      </c>
      <c r="D108" s="92" t="s">
        <v>605</v>
      </c>
      <c r="E108" s="120">
        <f>40000/3500</f>
        <v>11.428571428571429</v>
      </c>
      <c r="F108" s="1" t="s">
        <v>784</v>
      </c>
    </row>
    <row r="109" spans="1:6" ht="42.75">
      <c r="A109" s="92">
        <v>16</v>
      </c>
      <c r="B109" s="489" t="s">
        <v>642</v>
      </c>
      <c r="C109" s="100" t="s">
        <v>795</v>
      </c>
      <c r="D109" s="92"/>
      <c r="E109" s="119"/>
      <c r="F109" s="1" t="s">
        <v>784</v>
      </c>
    </row>
    <row r="110" spans="1:6" ht="28.5">
      <c r="A110" s="92">
        <v>17</v>
      </c>
      <c r="B110" s="489"/>
      <c r="C110" s="7" t="s">
        <v>796</v>
      </c>
      <c r="D110" s="101"/>
      <c r="E110" s="136"/>
      <c r="F110" s="1" t="s">
        <v>784</v>
      </c>
    </row>
    <row r="111" spans="1:6" ht="15">
      <c r="A111" s="102"/>
      <c r="B111" s="142"/>
      <c r="C111" s="47" t="s">
        <v>142</v>
      </c>
      <c r="D111" s="143"/>
      <c r="E111" s="144">
        <f>SUM(E94:E110)</f>
        <v>2525.5513513513515</v>
      </c>
      <c r="F111" s="145"/>
    </row>
    <row r="112" spans="1:6" ht="15">
      <c r="A112" s="156"/>
      <c r="B112" s="87"/>
      <c r="C112" s="47"/>
      <c r="D112" s="88"/>
      <c r="E112" s="217"/>
      <c r="F112" s="89"/>
    </row>
    <row r="113" spans="1:6" ht="15">
      <c r="A113" s="44"/>
      <c r="B113" s="573" t="s">
        <v>691</v>
      </c>
      <c r="C113" s="573"/>
      <c r="D113" s="45"/>
      <c r="E113" s="113"/>
      <c r="F113" s="10"/>
    </row>
    <row r="114" spans="1:6" ht="14.25">
      <c r="A114" s="46">
        <v>1</v>
      </c>
      <c r="B114" s="35" t="s">
        <v>622</v>
      </c>
      <c r="C114" s="35" t="s">
        <v>692</v>
      </c>
      <c r="D114" s="46" t="s">
        <v>606</v>
      </c>
      <c r="E114" s="114">
        <v>171.62</v>
      </c>
      <c r="F114" s="16" t="s">
        <v>611</v>
      </c>
    </row>
    <row r="115" spans="1:6" ht="14.25">
      <c r="A115" s="46">
        <v>2</v>
      </c>
      <c r="B115" s="417" t="s">
        <v>639</v>
      </c>
      <c r="C115" s="35" t="s">
        <v>843</v>
      </c>
      <c r="D115" s="46" t="s">
        <v>605</v>
      </c>
      <c r="E115" s="114"/>
      <c r="F115" s="16" t="s">
        <v>611</v>
      </c>
    </row>
    <row r="116" spans="1:6" ht="14.25">
      <c r="A116" s="46">
        <v>3</v>
      </c>
      <c r="B116" s="35"/>
      <c r="C116" s="3" t="s">
        <v>848</v>
      </c>
      <c r="D116" s="1" t="s">
        <v>605</v>
      </c>
      <c r="E116" s="216"/>
      <c r="F116" s="1" t="s">
        <v>611</v>
      </c>
    </row>
    <row r="117" spans="1:6" ht="14.25">
      <c r="A117" s="46">
        <v>4</v>
      </c>
      <c r="B117" s="91" t="s">
        <v>635</v>
      </c>
      <c r="C117" s="8" t="s">
        <v>693</v>
      </c>
      <c r="D117" s="1"/>
      <c r="E117" s="130"/>
      <c r="F117" s="1" t="s">
        <v>611</v>
      </c>
    </row>
    <row r="118" spans="1:6" ht="14.25">
      <c r="A118" s="46">
        <v>5</v>
      </c>
      <c r="B118" s="574" t="s">
        <v>659</v>
      </c>
      <c r="C118" s="7" t="s">
        <v>694</v>
      </c>
      <c r="D118" s="1"/>
      <c r="E118" s="130">
        <v>83.39</v>
      </c>
      <c r="F118" s="1" t="s">
        <v>611</v>
      </c>
    </row>
    <row r="119" spans="1:6" ht="14.25">
      <c r="A119" s="46">
        <v>6</v>
      </c>
      <c r="B119" s="546"/>
      <c r="C119" s="20" t="s">
        <v>695</v>
      </c>
      <c r="D119" s="1" t="s">
        <v>605</v>
      </c>
      <c r="E119" s="131"/>
      <c r="F119" s="1" t="s">
        <v>611</v>
      </c>
    </row>
    <row r="120" spans="1:6" ht="28.5">
      <c r="A120" s="46">
        <v>7</v>
      </c>
      <c r="B120" s="546"/>
      <c r="C120" s="17" t="s">
        <v>696</v>
      </c>
      <c r="D120" s="1" t="s">
        <v>605</v>
      </c>
      <c r="E120" s="131"/>
      <c r="F120" s="1" t="s">
        <v>611</v>
      </c>
    </row>
    <row r="121" spans="1:6" ht="14.25">
      <c r="A121" s="46">
        <v>8</v>
      </c>
      <c r="B121" s="575"/>
      <c r="C121" s="93" t="s">
        <v>697</v>
      </c>
      <c r="D121" s="1" t="s">
        <v>605</v>
      </c>
      <c r="E121" s="131"/>
      <c r="F121" s="1" t="s">
        <v>611</v>
      </c>
    </row>
    <row r="122" spans="1:6" ht="14.25">
      <c r="A122" s="46">
        <v>9</v>
      </c>
      <c r="B122" s="574" t="s">
        <v>653</v>
      </c>
      <c r="C122" s="5" t="s">
        <v>698</v>
      </c>
      <c r="D122" s="1" t="s">
        <v>605</v>
      </c>
      <c r="E122" s="120">
        <f>250000/3500</f>
        <v>71.42857142857143</v>
      </c>
      <c r="F122" s="1" t="s">
        <v>611</v>
      </c>
    </row>
    <row r="123" spans="1:6" ht="14.25">
      <c r="A123" s="46">
        <v>10</v>
      </c>
      <c r="B123" s="546"/>
      <c r="C123" s="5" t="s">
        <v>699</v>
      </c>
      <c r="D123" s="1" t="s">
        <v>605</v>
      </c>
      <c r="E123" s="120">
        <f>100000/3500</f>
        <v>28.571428571428573</v>
      </c>
      <c r="F123" s="1" t="s">
        <v>611</v>
      </c>
    </row>
    <row r="124" spans="1:6" ht="14.25">
      <c r="A124" s="46">
        <v>11</v>
      </c>
      <c r="B124" s="546"/>
      <c r="C124" s="5" t="s">
        <v>700</v>
      </c>
      <c r="D124" s="1" t="s">
        <v>605</v>
      </c>
      <c r="E124" s="120">
        <f>150000/3500</f>
        <v>42.857142857142854</v>
      </c>
      <c r="F124" s="1" t="s">
        <v>611</v>
      </c>
    </row>
    <row r="125" spans="1:6" ht="14.25">
      <c r="A125" s="46">
        <v>12</v>
      </c>
      <c r="B125" s="546"/>
      <c r="C125" s="5" t="s">
        <v>701</v>
      </c>
      <c r="D125" s="1" t="s">
        <v>605</v>
      </c>
      <c r="E125" s="120">
        <f>100000/3500</f>
        <v>28.571428571428573</v>
      </c>
      <c r="F125" s="1" t="s">
        <v>611</v>
      </c>
    </row>
    <row r="126" spans="1:6" ht="14.25">
      <c r="A126" s="46">
        <v>13</v>
      </c>
      <c r="B126" s="546"/>
      <c r="C126" s="30" t="s">
        <v>702</v>
      </c>
      <c r="D126" s="9" t="s">
        <v>605</v>
      </c>
      <c r="E126" s="116">
        <f>100000/3500</f>
        <v>28.571428571428573</v>
      </c>
      <c r="F126" s="9" t="s">
        <v>611</v>
      </c>
    </row>
    <row r="127" spans="1:6" ht="15">
      <c r="A127" s="300"/>
      <c r="B127" s="53"/>
      <c r="C127" s="47" t="s">
        <v>703</v>
      </c>
      <c r="D127" s="32"/>
      <c r="E127" s="126">
        <f>SUM(E114:E126)</f>
        <v>455.00999999999993</v>
      </c>
      <c r="F127" s="10"/>
    </row>
    <row r="128" spans="1:6" ht="15">
      <c r="A128" s="488"/>
      <c r="B128" s="507"/>
      <c r="C128" s="249"/>
      <c r="D128" s="508"/>
      <c r="E128" s="476"/>
      <c r="F128" s="147"/>
    </row>
    <row r="129" spans="1:6" ht="15">
      <c r="A129" s="150"/>
      <c r="B129" s="536" t="s">
        <v>799</v>
      </c>
      <c r="C129" s="536"/>
      <c r="D129" s="176"/>
      <c r="E129" s="430"/>
      <c r="F129" s="147"/>
    </row>
    <row r="130" spans="1:6" ht="14.25">
      <c r="A130" s="97">
        <v>1</v>
      </c>
      <c r="B130" s="98" t="s">
        <v>639</v>
      </c>
      <c r="C130" s="99" t="s">
        <v>782</v>
      </c>
      <c r="D130" s="16" t="s">
        <v>672</v>
      </c>
      <c r="E130" s="133">
        <v>278</v>
      </c>
      <c r="F130" s="50" t="s">
        <v>612</v>
      </c>
    </row>
    <row r="131" spans="1:6" s="400" customFormat="1" ht="15">
      <c r="A131" s="300"/>
      <c r="B131" s="53"/>
      <c r="C131" s="47" t="s">
        <v>800</v>
      </c>
      <c r="D131" s="266"/>
      <c r="E131" s="144">
        <f>SUM(E130)</f>
        <v>278</v>
      </c>
      <c r="F131" s="145"/>
    </row>
    <row r="132" spans="1:6" s="400" customFormat="1" ht="15">
      <c r="A132" s="488"/>
      <c r="B132" s="507"/>
      <c r="C132" s="249"/>
      <c r="D132" s="509"/>
      <c r="E132" s="510"/>
      <c r="F132" s="511"/>
    </row>
    <row r="133" spans="1:6" ht="15">
      <c r="A133" s="151"/>
      <c r="B133" s="534" t="s">
        <v>681</v>
      </c>
      <c r="C133" s="534"/>
      <c r="D133" s="315"/>
      <c r="E133" s="177"/>
      <c r="F133" s="197"/>
    </row>
    <row r="134" spans="1:6" s="374" customFormat="1" ht="14.25">
      <c r="A134" s="92">
        <v>1</v>
      </c>
      <c r="B134" s="157" t="s">
        <v>639</v>
      </c>
      <c r="C134" s="157" t="s">
        <v>589</v>
      </c>
      <c r="D134" s="92" t="s">
        <v>605</v>
      </c>
      <c r="E134" s="153"/>
      <c r="F134" s="14" t="s">
        <v>614</v>
      </c>
    </row>
    <row r="135" spans="1:6" ht="14.25">
      <c r="A135" s="9">
        <v>2</v>
      </c>
      <c r="B135" s="33" t="s">
        <v>653</v>
      </c>
      <c r="C135" s="39" t="s">
        <v>682</v>
      </c>
      <c r="D135" s="9"/>
      <c r="E135" s="291"/>
      <c r="F135" s="36" t="s">
        <v>614</v>
      </c>
    </row>
    <row r="136" spans="1:6" ht="15">
      <c r="A136" s="192"/>
      <c r="B136" s="410"/>
      <c r="C136" s="47" t="s">
        <v>798</v>
      </c>
      <c r="D136" s="14"/>
      <c r="E136" s="144"/>
      <c r="F136" s="14"/>
    </row>
    <row r="138" spans="1:6" ht="15">
      <c r="A138" s="11"/>
      <c r="B138" s="545" t="s">
        <v>688</v>
      </c>
      <c r="C138" s="545"/>
      <c r="D138" s="29"/>
      <c r="E138" s="105"/>
      <c r="F138" s="10"/>
    </row>
    <row r="139" spans="1:6" ht="14.25">
      <c r="A139" s="1">
        <v>1</v>
      </c>
      <c r="B139" s="390" t="s">
        <v>659</v>
      </c>
      <c r="C139" s="3" t="s">
        <v>689</v>
      </c>
      <c r="D139" s="1" t="s">
        <v>606</v>
      </c>
      <c r="E139" s="120">
        <f>1000000/3500</f>
        <v>285.7142857142857</v>
      </c>
      <c r="F139" s="14" t="s">
        <v>614</v>
      </c>
    </row>
    <row r="140" spans="1:6" ht="14.25">
      <c r="A140" s="1">
        <v>2</v>
      </c>
      <c r="B140" s="390" t="s">
        <v>639</v>
      </c>
      <c r="C140" s="3" t="s">
        <v>689</v>
      </c>
      <c r="D140" s="1" t="s">
        <v>605</v>
      </c>
      <c r="E140" s="120"/>
      <c r="F140" s="14" t="s">
        <v>614</v>
      </c>
    </row>
    <row r="141" spans="1:6" s="400" customFormat="1" ht="15">
      <c r="A141" s="145"/>
      <c r="B141" s="142"/>
      <c r="C141" s="47" t="s">
        <v>690</v>
      </c>
      <c r="D141" s="103"/>
      <c r="E141" s="144">
        <f>SUM(E139)</f>
        <v>285.7142857142857</v>
      </c>
      <c r="F141" s="145"/>
    </row>
    <row r="142" spans="1:6" ht="15">
      <c r="A142" s="151"/>
      <c r="B142" s="534" t="s">
        <v>247</v>
      </c>
      <c r="C142" s="534"/>
      <c r="D142" s="315"/>
      <c r="E142" s="177"/>
      <c r="F142" s="147"/>
    </row>
    <row r="143" spans="1:6" ht="14.25">
      <c r="A143" s="4">
        <v>1</v>
      </c>
      <c r="B143" s="533" t="s">
        <v>653</v>
      </c>
      <c r="C143" s="3" t="s">
        <v>764</v>
      </c>
      <c r="D143" s="1" t="s">
        <v>672</v>
      </c>
      <c r="E143" s="120">
        <f>500000/3500</f>
        <v>142.85714285714286</v>
      </c>
      <c r="F143" s="1" t="s">
        <v>614</v>
      </c>
    </row>
    <row r="144" spans="1:6" ht="14.25">
      <c r="A144" s="4">
        <v>2</v>
      </c>
      <c r="B144" s="533"/>
      <c r="C144" s="3" t="s">
        <v>765</v>
      </c>
      <c r="D144" s="4" t="s">
        <v>606</v>
      </c>
      <c r="E144" s="120">
        <f>200000/3500</f>
        <v>57.142857142857146</v>
      </c>
      <c r="F144" s="1" t="s">
        <v>614</v>
      </c>
    </row>
    <row r="145" spans="1:6" ht="14.25">
      <c r="A145" s="4">
        <v>3</v>
      </c>
      <c r="B145" s="533"/>
      <c r="C145" s="3" t="s">
        <v>766</v>
      </c>
      <c r="D145" s="1" t="s">
        <v>672</v>
      </c>
      <c r="E145" s="120">
        <f>480000/3500</f>
        <v>137.14285714285714</v>
      </c>
      <c r="F145" s="1" t="s">
        <v>614</v>
      </c>
    </row>
    <row r="146" spans="1:6" ht="28.5">
      <c r="A146" s="4">
        <v>4</v>
      </c>
      <c r="B146" s="9" t="s">
        <v>659</v>
      </c>
      <c r="C146" s="3" t="s">
        <v>704</v>
      </c>
      <c r="D146" s="1" t="s">
        <v>672</v>
      </c>
      <c r="E146" s="120">
        <f>400000/3500</f>
        <v>114.28571428571429</v>
      </c>
      <c r="F146" s="1" t="s">
        <v>614</v>
      </c>
    </row>
    <row r="147" spans="1:6" ht="14.25">
      <c r="A147" s="4">
        <v>5</v>
      </c>
      <c r="B147" s="41"/>
      <c r="C147" s="3" t="s">
        <v>705</v>
      </c>
      <c r="D147" s="1" t="s">
        <v>606</v>
      </c>
      <c r="E147" s="120">
        <f>100000/3500</f>
        <v>28.571428571428573</v>
      </c>
      <c r="F147" s="1" t="s">
        <v>614</v>
      </c>
    </row>
    <row r="148" spans="1:6" ht="14.25">
      <c r="A148" s="4">
        <v>6</v>
      </c>
      <c r="B148" s="41"/>
      <c r="C148" s="3" t="s">
        <v>706</v>
      </c>
      <c r="D148" s="1" t="s">
        <v>672</v>
      </c>
      <c r="E148" s="120">
        <f>4000000/3500</f>
        <v>1142.857142857143</v>
      </c>
      <c r="F148" s="1" t="s">
        <v>614</v>
      </c>
    </row>
    <row r="149" spans="1:6" ht="14.25">
      <c r="A149" s="4">
        <v>7</v>
      </c>
      <c r="B149" s="41"/>
      <c r="C149" s="3" t="s">
        <v>707</v>
      </c>
      <c r="D149" s="1" t="s">
        <v>607</v>
      </c>
      <c r="E149" s="120">
        <f>2500000/3500</f>
        <v>714.2857142857143</v>
      </c>
      <c r="F149" s="1" t="s">
        <v>614</v>
      </c>
    </row>
    <row r="150" spans="1:6" ht="28.5">
      <c r="A150" s="4">
        <v>8</v>
      </c>
      <c r="B150" s="41"/>
      <c r="C150" s="3" t="s">
        <v>708</v>
      </c>
      <c r="D150" s="1" t="s">
        <v>606</v>
      </c>
      <c r="E150" s="120">
        <f>600000/3500</f>
        <v>171.42857142857142</v>
      </c>
      <c r="F150" s="1" t="s">
        <v>614</v>
      </c>
    </row>
    <row r="151" spans="1:6" ht="28.5">
      <c r="A151" s="4">
        <v>9</v>
      </c>
      <c r="B151" s="41"/>
      <c r="C151" s="3" t="s">
        <v>709</v>
      </c>
      <c r="D151" s="1" t="s">
        <v>607</v>
      </c>
      <c r="E151" s="120">
        <f>1500000/3500</f>
        <v>428.57142857142856</v>
      </c>
      <c r="F151" s="1" t="s">
        <v>614</v>
      </c>
    </row>
    <row r="152" spans="1:6" ht="14.25">
      <c r="A152" s="4">
        <v>10</v>
      </c>
      <c r="B152" s="16"/>
      <c r="C152" s="3" t="s">
        <v>710</v>
      </c>
      <c r="D152" s="1" t="s">
        <v>607</v>
      </c>
      <c r="E152" s="120">
        <f>1200000/3500</f>
        <v>342.85714285714283</v>
      </c>
      <c r="F152" s="1" t="s">
        <v>614</v>
      </c>
    </row>
    <row r="153" spans="1:6" ht="42.75">
      <c r="A153" s="4">
        <v>11</v>
      </c>
      <c r="B153" s="9" t="s">
        <v>659</v>
      </c>
      <c r="C153" s="3" t="s">
        <v>711</v>
      </c>
      <c r="D153" s="1" t="s">
        <v>672</v>
      </c>
      <c r="E153" s="122">
        <f>220000/3500</f>
        <v>62.857142857142854</v>
      </c>
      <c r="F153" s="1" t="s">
        <v>614</v>
      </c>
    </row>
    <row r="154" spans="1:6" ht="28.5">
      <c r="A154" s="4">
        <v>12</v>
      </c>
      <c r="B154" s="41"/>
      <c r="C154" s="3" t="s">
        <v>712</v>
      </c>
      <c r="D154" s="4" t="s">
        <v>606</v>
      </c>
      <c r="E154" s="122">
        <f>800000/3500</f>
        <v>228.57142857142858</v>
      </c>
      <c r="F154" s="1" t="s">
        <v>614</v>
      </c>
    </row>
    <row r="155" spans="1:6" ht="14.25">
      <c r="A155" s="4">
        <v>13</v>
      </c>
      <c r="B155" s="41"/>
      <c r="C155" s="6" t="s">
        <v>713</v>
      </c>
      <c r="D155" s="1" t="s">
        <v>606</v>
      </c>
      <c r="E155" s="115">
        <v>81.08108108108108</v>
      </c>
      <c r="F155" s="1" t="s">
        <v>614</v>
      </c>
    </row>
    <row r="156" spans="1:6" ht="14.25">
      <c r="A156" s="4">
        <v>14</v>
      </c>
      <c r="B156" s="41"/>
      <c r="C156" s="5" t="s">
        <v>714</v>
      </c>
      <c r="D156" s="4" t="s">
        <v>606</v>
      </c>
      <c r="E156" s="122">
        <f>900000/3500</f>
        <v>257.14285714285717</v>
      </c>
      <c r="F156" s="1" t="s">
        <v>614</v>
      </c>
    </row>
    <row r="157" spans="1:6" ht="28.5">
      <c r="A157" s="4">
        <v>15</v>
      </c>
      <c r="B157" s="41"/>
      <c r="C157" s="3" t="s">
        <v>715</v>
      </c>
      <c r="D157" s="4" t="s">
        <v>608</v>
      </c>
      <c r="E157" s="122">
        <f>400000/3500</f>
        <v>114.28571428571429</v>
      </c>
      <c r="F157" s="1" t="s">
        <v>614</v>
      </c>
    </row>
    <row r="158" spans="1:6" ht="14.25">
      <c r="A158" s="4">
        <v>16</v>
      </c>
      <c r="B158" s="41"/>
      <c r="C158" s="5" t="s">
        <v>716</v>
      </c>
      <c r="D158" s="4" t="s">
        <v>608</v>
      </c>
      <c r="E158" s="122">
        <f>500000/3500</f>
        <v>142.85714285714286</v>
      </c>
      <c r="F158" s="1" t="s">
        <v>614</v>
      </c>
    </row>
    <row r="159" spans="1:6" ht="28.5">
      <c r="A159" s="4">
        <v>17</v>
      </c>
      <c r="B159" s="41"/>
      <c r="C159" s="3" t="s">
        <v>717</v>
      </c>
      <c r="D159" s="4" t="s">
        <v>608</v>
      </c>
      <c r="E159" s="122">
        <f>1100000/3500</f>
        <v>314.2857142857143</v>
      </c>
      <c r="F159" s="1" t="s">
        <v>614</v>
      </c>
    </row>
    <row r="160" spans="1:6" ht="28.5">
      <c r="A160" s="4">
        <v>18</v>
      </c>
      <c r="B160" s="42"/>
      <c r="C160" s="3" t="s">
        <v>718</v>
      </c>
      <c r="D160" s="4" t="s">
        <v>608</v>
      </c>
      <c r="E160" s="122">
        <f>380000/3500</f>
        <v>108.57142857142857</v>
      </c>
      <c r="F160" s="1" t="s">
        <v>614</v>
      </c>
    </row>
    <row r="161" spans="1:6" ht="14.25">
      <c r="A161" s="4">
        <v>19</v>
      </c>
      <c r="B161" s="415"/>
      <c r="C161" s="5" t="s">
        <v>719</v>
      </c>
      <c r="D161" s="4" t="s">
        <v>608</v>
      </c>
      <c r="E161" s="122">
        <f>100000/3500</f>
        <v>28.571428571428573</v>
      </c>
      <c r="F161" s="1" t="s">
        <v>614</v>
      </c>
    </row>
    <row r="162" spans="1:6" ht="14.25">
      <c r="A162" s="4">
        <v>20</v>
      </c>
      <c r="B162" s="415"/>
      <c r="C162" s="5" t="s">
        <v>720</v>
      </c>
      <c r="D162" s="4" t="s">
        <v>608</v>
      </c>
      <c r="E162" s="122">
        <f>300000/3500</f>
        <v>85.71428571428571</v>
      </c>
      <c r="F162" s="1" t="s">
        <v>614</v>
      </c>
    </row>
    <row r="163" spans="1:6" ht="14.25">
      <c r="A163" s="4">
        <v>21</v>
      </c>
      <c r="B163" s="415"/>
      <c r="C163" s="5" t="s">
        <v>721</v>
      </c>
      <c r="D163" s="4" t="s">
        <v>608</v>
      </c>
      <c r="E163" s="122">
        <f>1000000/3500</f>
        <v>285.7142857142857</v>
      </c>
      <c r="F163" s="1" t="s">
        <v>614</v>
      </c>
    </row>
    <row r="164" spans="1:6" ht="14.25">
      <c r="A164" s="4">
        <v>22</v>
      </c>
      <c r="B164" s="415"/>
      <c r="C164" s="5" t="s">
        <v>722</v>
      </c>
      <c r="D164" s="4" t="s">
        <v>608</v>
      </c>
      <c r="E164" s="122">
        <f>3500000/3500</f>
        <v>1000</v>
      </c>
      <c r="F164" s="1" t="s">
        <v>614</v>
      </c>
    </row>
    <row r="165" spans="1:6" ht="14.25">
      <c r="A165" s="4">
        <v>23</v>
      </c>
      <c r="B165" s="415"/>
      <c r="C165" s="5" t="s">
        <v>723</v>
      </c>
      <c r="D165" s="4" t="s">
        <v>608</v>
      </c>
      <c r="E165" s="122">
        <f>1000000/3500</f>
        <v>285.7142857142857</v>
      </c>
      <c r="F165" s="1" t="s">
        <v>614</v>
      </c>
    </row>
    <row r="166" spans="1:6" ht="14.25">
      <c r="A166" s="4">
        <v>24</v>
      </c>
      <c r="B166" s="415"/>
      <c r="C166" s="5" t="s">
        <v>724</v>
      </c>
      <c r="D166" s="4" t="s">
        <v>608</v>
      </c>
      <c r="E166" s="122">
        <f>1000000/3500</f>
        <v>285.7142857142857</v>
      </c>
      <c r="F166" s="1" t="s">
        <v>614</v>
      </c>
    </row>
    <row r="167" spans="1:6" ht="14.25">
      <c r="A167" s="4">
        <v>25</v>
      </c>
      <c r="B167" s="415"/>
      <c r="C167" s="5" t="s">
        <v>725</v>
      </c>
      <c r="D167" s="4" t="s">
        <v>608</v>
      </c>
      <c r="E167" s="122">
        <f>1500000/3500</f>
        <v>428.57142857142856</v>
      </c>
      <c r="F167" s="1" t="s">
        <v>614</v>
      </c>
    </row>
    <row r="168" spans="1:6" ht="28.5">
      <c r="A168" s="4">
        <v>26</v>
      </c>
      <c r="B168" s="415"/>
      <c r="C168" s="3" t="s">
        <v>728</v>
      </c>
      <c r="D168" s="4" t="s">
        <v>608</v>
      </c>
      <c r="E168" s="122">
        <f>2000000/3500</f>
        <v>571.4285714285714</v>
      </c>
      <c r="F168" s="1" t="s">
        <v>614</v>
      </c>
    </row>
    <row r="169" spans="1:6" ht="28.5">
      <c r="A169" s="4">
        <v>27</v>
      </c>
      <c r="B169" s="415"/>
      <c r="C169" s="3" t="s">
        <v>729</v>
      </c>
      <c r="D169" s="4" t="s">
        <v>608</v>
      </c>
      <c r="E169" s="122">
        <f>150000/3500</f>
        <v>42.857142857142854</v>
      </c>
      <c r="F169" s="1" t="s">
        <v>614</v>
      </c>
    </row>
    <row r="170" spans="1:6" ht="14.25">
      <c r="A170" s="4">
        <v>28</v>
      </c>
      <c r="B170" s="416"/>
      <c r="C170" s="5" t="s">
        <v>730</v>
      </c>
      <c r="D170" s="4" t="s">
        <v>608</v>
      </c>
      <c r="E170" s="122">
        <f>89000/3500</f>
        <v>25.428571428571427</v>
      </c>
      <c r="F170" s="1" t="s">
        <v>614</v>
      </c>
    </row>
    <row r="171" spans="1:6" ht="42.75">
      <c r="A171" s="4">
        <v>29</v>
      </c>
      <c r="B171" s="9" t="s">
        <v>659</v>
      </c>
      <c r="C171" s="3" t="s">
        <v>731</v>
      </c>
      <c r="D171" s="4" t="s">
        <v>608</v>
      </c>
      <c r="E171" s="122">
        <f>300000/3500</f>
        <v>85.71428571428571</v>
      </c>
      <c r="F171" s="1" t="s">
        <v>614</v>
      </c>
    </row>
    <row r="172" spans="1:6" ht="14.25">
      <c r="A172" s="4">
        <v>30</v>
      </c>
      <c r="B172" s="415"/>
      <c r="C172" s="5" t="s">
        <v>732</v>
      </c>
      <c r="D172" s="4" t="s">
        <v>608</v>
      </c>
      <c r="E172" s="122">
        <f>200000/3500</f>
        <v>57.142857142857146</v>
      </c>
      <c r="F172" s="1" t="s">
        <v>614</v>
      </c>
    </row>
    <row r="173" spans="1:6" ht="42.75">
      <c r="A173" s="4">
        <v>31</v>
      </c>
      <c r="B173" s="415"/>
      <c r="C173" s="3" t="s">
        <v>733</v>
      </c>
      <c r="D173" s="4" t="s">
        <v>608</v>
      </c>
      <c r="E173" s="122">
        <f>400000/3500</f>
        <v>114.28571428571429</v>
      </c>
      <c r="F173" s="1" t="s">
        <v>614</v>
      </c>
    </row>
    <row r="174" spans="1:6" ht="28.5">
      <c r="A174" s="4">
        <v>32</v>
      </c>
      <c r="B174" s="415"/>
      <c r="C174" s="3" t="s">
        <v>734</v>
      </c>
      <c r="D174" s="4" t="s">
        <v>608</v>
      </c>
      <c r="E174" s="122">
        <f>500000/3500</f>
        <v>142.85714285714286</v>
      </c>
      <c r="F174" s="1" t="s">
        <v>614</v>
      </c>
    </row>
    <row r="175" spans="1:6" ht="42.75">
      <c r="A175" s="4">
        <v>33</v>
      </c>
      <c r="B175" s="415"/>
      <c r="C175" s="3" t="s">
        <v>735</v>
      </c>
      <c r="D175" s="4" t="s">
        <v>608</v>
      </c>
      <c r="E175" s="122">
        <f>3900000/3500</f>
        <v>1114.2857142857142</v>
      </c>
      <c r="F175" s="1" t="s">
        <v>614</v>
      </c>
    </row>
    <row r="176" spans="1:6" ht="14.25">
      <c r="A176" s="4">
        <v>34</v>
      </c>
      <c r="B176" s="415"/>
      <c r="C176" s="5" t="s">
        <v>736</v>
      </c>
      <c r="D176" s="4" t="s">
        <v>608</v>
      </c>
      <c r="E176" s="122">
        <f>800000/3500</f>
        <v>228.57142857142858</v>
      </c>
      <c r="F176" s="1" t="s">
        <v>614</v>
      </c>
    </row>
    <row r="177" spans="1:6" ht="14.25">
      <c r="A177" s="4">
        <v>35</v>
      </c>
      <c r="B177" s="415"/>
      <c r="C177" s="5" t="s">
        <v>737</v>
      </c>
      <c r="D177" s="4" t="s">
        <v>608</v>
      </c>
      <c r="E177" s="122">
        <f>400000/3500</f>
        <v>114.28571428571429</v>
      </c>
      <c r="F177" s="1" t="s">
        <v>614</v>
      </c>
    </row>
    <row r="178" spans="1:6" ht="14.25">
      <c r="A178" s="4">
        <v>36</v>
      </c>
      <c r="B178" s="42"/>
      <c r="C178" s="5" t="s">
        <v>738</v>
      </c>
      <c r="D178" s="4" t="s">
        <v>608</v>
      </c>
      <c r="E178" s="122">
        <f>65000/3500</f>
        <v>18.571428571428573</v>
      </c>
      <c r="F178" s="1" t="s">
        <v>614</v>
      </c>
    </row>
    <row r="179" spans="1:6" ht="14.25">
      <c r="A179" s="4">
        <v>37</v>
      </c>
      <c r="B179" s="415"/>
      <c r="C179" s="5" t="s">
        <v>761</v>
      </c>
      <c r="D179" s="4" t="s">
        <v>608</v>
      </c>
      <c r="E179" s="122">
        <f>800000/3500</f>
        <v>228.57142857142858</v>
      </c>
      <c r="F179" s="1" t="s">
        <v>614</v>
      </c>
    </row>
    <row r="180" spans="1:6" ht="14.25">
      <c r="A180" s="4">
        <v>38</v>
      </c>
      <c r="B180" s="415"/>
      <c r="C180" s="5" t="s">
        <v>762</v>
      </c>
      <c r="D180" s="4" t="s">
        <v>608</v>
      </c>
      <c r="E180" s="122">
        <f>550000/3500</f>
        <v>157.14285714285714</v>
      </c>
      <c r="F180" s="1" t="s">
        <v>614</v>
      </c>
    </row>
    <row r="181" spans="1:6" ht="14.25">
      <c r="A181" s="4">
        <v>39</v>
      </c>
      <c r="B181" s="416"/>
      <c r="C181" s="5" t="s">
        <v>763</v>
      </c>
      <c r="D181" s="4" t="s">
        <v>608</v>
      </c>
      <c r="E181" s="122">
        <f>300000/3500</f>
        <v>85.71428571428571</v>
      </c>
      <c r="F181" s="1" t="s">
        <v>614</v>
      </c>
    </row>
    <row r="182" spans="1:6" ht="15">
      <c r="A182" s="154"/>
      <c r="B182" s="87"/>
      <c r="C182" s="47" t="s">
        <v>246</v>
      </c>
      <c r="D182" s="86"/>
      <c r="E182" s="144">
        <f>SUM(E143:E181)</f>
        <v>9976.509652509654</v>
      </c>
      <c r="F182" s="1"/>
    </row>
    <row r="183" spans="1:6" ht="15">
      <c r="A183" s="44"/>
      <c r="B183" s="573" t="s">
        <v>955</v>
      </c>
      <c r="C183" s="573"/>
      <c r="D183" s="45"/>
      <c r="E183" s="113"/>
      <c r="F183" s="10"/>
    </row>
    <row r="184" spans="1:6" ht="14.25">
      <c r="A184" s="4">
        <v>1</v>
      </c>
      <c r="B184" s="72" t="s">
        <v>624</v>
      </c>
      <c r="C184" s="37" t="s">
        <v>767</v>
      </c>
      <c r="D184" s="16" t="s">
        <v>672</v>
      </c>
      <c r="E184" s="135">
        <f>100239/3500</f>
        <v>28.639714285714287</v>
      </c>
      <c r="F184" s="16" t="s">
        <v>612</v>
      </c>
    </row>
    <row r="185" spans="1:6" ht="14.25">
      <c r="A185" s="4">
        <v>2</v>
      </c>
      <c r="B185" s="530" t="s">
        <v>635</v>
      </c>
      <c r="C185" s="20" t="s">
        <v>768</v>
      </c>
      <c r="D185" s="14" t="s">
        <v>606</v>
      </c>
      <c r="E185" s="136">
        <f>520000/3500</f>
        <v>148.57142857142858</v>
      </c>
      <c r="F185" s="1" t="s">
        <v>612</v>
      </c>
    </row>
    <row r="186" spans="1:6" ht="14.25">
      <c r="A186" s="4">
        <v>3</v>
      </c>
      <c r="B186" s="531"/>
      <c r="C186" s="20" t="s">
        <v>769</v>
      </c>
      <c r="D186" s="14" t="s">
        <v>606</v>
      </c>
      <c r="E186" s="136">
        <f>1792500/3500</f>
        <v>512.1428571428571</v>
      </c>
      <c r="F186" s="1" t="s">
        <v>612</v>
      </c>
    </row>
    <row r="187" spans="1:6" ht="14.25">
      <c r="A187" s="4">
        <v>4</v>
      </c>
      <c r="B187" s="532"/>
      <c r="C187" s="95" t="s">
        <v>770</v>
      </c>
      <c r="D187" s="96" t="s">
        <v>606</v>
      </c>
      <c r="E187" s="136">
        <f>1278500/3500</f>
        <v>365.2857142857143</v>
      </c>
      <c r="F187" s="1" t="s">
        <v>612</v>
      </c>
    </row>
    <row r="188" spans="1:6" ht="14.25">
      <c r="A188" s="4">
        <v>5</v>
      </c>
      <c r="B188" s="93" t="s">
        <v>631</v>
      </c>
      <c r="C188" s="95" t="s">
        <v>771</v>
      </c>
      <c r="D188" s="96" t="s">
        <v>606</v>
      </c>
      <c r="E188" s="136">
        <f>100000/3500</f>
        <v>28.571428571428573</v>
      </c>
      <c r="F188" s="1" t="s">
        <v>612</v>
      </c>
    </row>
    <row r="189" spans="1:6" ht="14.25">
      <c r="A189" s="4">
        <v>6</v>
      </c>
      <c r="B189" s="555" t="s">
        <v>642</v>
      </c>
      <c r="C189" s="95" t="s">
        <v>772</v>
      </c>
      <c r="D189" s="96" t="s">
        <v>605</v>
      </c>
      <c r="E189" s="136">
        <f>200000/3500</f>
        <v>57.142857142857146</v>
      </c>
      <c r="F189" s="1" t="s">
        <v>612</v>
      </c>
    </row>
    <row r="190" spans="1:6" ht="14.25">
      <c r="A190" s="4">
        <v>7</v>
      </c>
      <c r="B190" s="555"/>
      <c r="C190" s="95" t="s">
        <v>773</v>
      </c>
      <c r="D190" s="96" t="s">
        <v>605</v>
      </c>
      <c r="E190" s="136">
        <f>30000/3500</f>
        <v>8.571428571428571</v>
      </c>
      <c r="F190" s="1" t="s">
        <v>611</v>
      </c>
    </row>
    <row r="191" spans="1:6" ht="14.25">
      <c r="A191" s="4">
        <v>8</v>
      </c>
      <c r="B191" s="555"/>
      <c r="C191" s="95" t="s">
        <v>774</v>
      </c>
      <c r="D191" s="96" t="s">
        <v>605</v>
      </c>
      <c r="E191" s="136">
        <f>200000/3500</f>
        <v>57.142857142857146</v>
      </c>
      <c r="F191" s="1" t="s">
        <v>612</v>
      </c>
    </row>
    <row r="192" spans="1:6" ht="14.25">
      <c r="A192" s="4">
        <v>9</v>
      </c>
      <c r="B192" s="530" t="s">
        <v>639</v>
      </c>
      <c r="C192" s="95" t="s">
        <v>844</v>
      </c>
      <c r="D192" s="96" t="s">
        <v>606</v>
      </c>
      <c r="E192" s="136">
        <f>90000/3500</f>
        <v>25.714285714285715</v>
      </c>
      <c r="F192" s="1" t="s">
        <v>612</v>
      </c>
    </row>
    <row r="193" spans="1:6" ht="14.25">
      <c r="A193" s="4">
        <v>10</v>
      </c>
      <c r="B193" s="531"/>
      <c r="C193" s="95" t="s">
        <v>824</v>
      </c>
      <c r="D193" s="96" t="s">
        <v>605</v>
      </c>
      <c r="E193" s="136">
        <f>150000/3500</f>
        <v>42.857142857142854</v>
      </c>
      <c r="F193" s="1" t="s">
        <v>612</v>
      </c>
    </row>
    <row r="194" spans="1:6" ht="14.25">
      <c r="A194" s="4">
        <v>11</v>
      </c>
      <c r="B194" s="531"/>
      <c r="C194" s="95" t="s">
        <v>825</v>
      </c>
      <c r="D194" s="96" t="s">
        <v>605</v>
      </c>
      <c r="E194" s="136">
        <f>150000/3500</f>
        <v>42.857142857142854</v>
      </c>
      <c r="F194" s="1" t="s">
        <v>612</v>
      </c>
    </row>
    <row r="195" spans="1:6" ht="14.25">
      <c r="A195" s="4">
        <v>12</v>
      </c>
      <c r="B195" s="531"/>
      <c r="C195" s="95" t="s">
        <v>826</v>
      </c>
      <c r="D195" s="96" t="s">
        <v>605</v>
      </c>
      <c r="E195" s="136">
        <f>250000/3500</f>
        <v>71.42857142857143</v>
      </c>
      <c r="F195" s="1" t="s">
        <v>612</v>
      </c>
    </row>
    <row r="196" spans="1:6" ht="14.25">
      <c r="A196" s="4">
        <v>13</v>
      </c>
      <c r="B196" s="531"/>
      <c r="C196" s="95" t="s">
        <v>827</v>
      </c>
      <c r="D196" s="96" t="s">
        <v>605</v>
      </c>
      <c r="E196" s="136">
        <f>150000/3500</f>
        <v>42.857142857142854</v>
      </c>
      <c r="F196" s="1" t="s">
        <v>612</v>
      </c>
    </row>
    <row r="197" spans="1:6" ht="14.25">
      <c r="A197" s="4">
        <v>14</v>
      </c>
      <c r="B197" s="531"/>
      <c r="C197" s="95" t="s">
        <v>828</v>
      </c>
      <c r="D197" s="96" t="s">
        <v>605</v>
      </c>
      <c r="E197" s="136">
        <f>30000/3500</f>
        <v>8.571428571428571</v>
      </c>
      <c r="F197" s="1" t="s">
        <v>612</v>
      </c>
    </row>
    <row r="198" spans="1:6" ht="14.25">
      <c r="A198" s="4">
        <v>15</v>
      </c>
      <c r="B198" s="531"/>
      <c r="C198" s="95" t="s">
        <v>829</v>
      </c>
      <c r="D198" s="96" t="s">
        <v>605</v>
      </c>
      <c r="E198" s="136">
        <f>25000/3500</f>
        <v>7.142857142857143</v>
      </c>
      <c r="F198" s="1" t="s">
        <v>612</v>
      </c>
    </row>
    <row r="199" spans="1:6" ht="14.25">
      <c r="A199" s="4">
        <v>16</v>
      </c>
      <c r="B199" s="532"/>
      <c r="C199" s="95" t="s">
        <v>841</v>
      </c>
      <c r="D199" s="96" t="s">
        <v>605</v>
      </c>
      <c r="E199" s="136">
        <f>5000000/3500</f>
        <v>1428.5714285714287</v>
      </c>
      <c r="F199" s="1" t="s">
        <v>612</v>
      </c>
    </row>
    <row r="200" spans="1:6" ht="15">
      <c r="A200" s="156"/>
      <c r="B200" s="87"/>
      <c r="C200" s="47" t="s">
        <v>959</v>
      </c>
      <c r="D200" s="141"/>
      <c r="E200" s="144">
        <f>SUM(E184:E199)</f>
        <v>2876.068285714286</v>
      </c>
      <c r="F200" s="108"/>
    </row>
    <row r="201" ht="15" thickBot="1"/>
    <row r="202" spans="1:6" ht="15.75" thickBot="1">
      <c r="A202" s="434">
        <f>A18+A41+A54+A62+A77+A82+A90+A126+A130+A135+A28+A140+A181+A199+A110</f>
        <v>156</v>
      </c>
      <c r="B202" s="425"/>
      <c r="C202" s="431" t="s">
        <v>924</v>
      </c>
      <c r="D202" s="422"/>
      <c r="E202" s="432">
        <f>SUM(E111+E200+E182+E141+E29+E131+E127+E91+E83+E78+E63+E55+E42+E19)</f>
        <v>47597.63424872587</v>
      </c>
      <c r="F202" s="433"/>
    </row>
    <row r="204" spans="3:5" ht="15">
      <c r="C204" s="375" t="s">
        <v>866</v>
      </c>
      <c r="E204" s="387">
        <f>SUM(E4:E16)+SUM(E32:E36)+SUM(E45:E49)+SUM(E58:E61)+SUM(E66:E69)+E81+E86+E114+E130+E22+E23+E24+E25+E139+E143+E144+E145+E146+E147+E148+E149+E150+E151+E153+E152+E154+E155+E156+SUM(E184:E188)+E192+SUM(E94:E97)+E99+E100</f>
        <v>26561.82529119691</v>
      </c>
    </row>
    <row r="205" spans="3:5" ht="15">
      <c r="C205" s="375" t="s">
        <v>922</v>
      </c>
      <c r="E205" s="387">
        <f>SUM(E202-E204)</f>
        <v>21035.808957528963</v>
      </c>
    </row>
  </sheetData>
  <mergeCells count="38">
    <mergeCell ref="B109:B110"/>
    <mergeCell ref="B93:C93"/>
    <mergeCell ref="B102:B105"/>
    <mergeCell ref="B106:B107"/>
    <mergeCell ref="B100:B101"/>
    <mergeCell ref="B94:B98"/>
    <mergeCell ref="B80:C80"/>
    <mergeCell ref="B85:C85"/>
    <mergeCell ref="B63:D63"/>
    <mergeCell ref="B78:D78"/>
    <mergeCell ref="B65:C65"/>
    <mergeCell ref="B21:C21"/>
    <mergeCell ref="B68:B72"/>
    <mergeCell ref="B44:C44"/>
    <mergeCell ref="B49:B51"/>
    <mergeCell ref="B52:B53"/>
    <mergeCell ref="B57:C57"/>
    <mergeCell ref="B26:B28"/>
    <mergeCell ref="B1:C1"/>
    <mergeCell ref="B3:C3"/>
    <mergeCell ref="B138:C138"/>
    <mergeCell ref="B142:C142"/>
    <mergeCell ref="B7:B8"/>
    <mergeCell ref="B14:B15"/>
    <mergeCell ref="B17:B18"/>
    <mergeCell ref="B31:C31"/>
    <mergeCell ref="B74:B76"/>
    <mergeCell ref="B133:C133"/>
    <mergeCell ref="B189:B191"/>
    <mergeCell ref="B192:B199"/>
    <mergeCell ref="B23:B24"/>
    <mergeCell ref="B185:B187"/>
    <mergeCell ref="B143:B145"/>
    <mergeCell ref="B183:C183"/>
    <mergeCell ref="B129:C129"/>
    <mergeCell ref="B113:C113"/>
    <mergeCell ref="B118:B121"/>
    <mergeCell ref="B122:B126"/>
  </mergeCells>
  <printOptions horizontalCentered="1"/>
  <pageMargins left="0" right="0" top="1.1811023622047245" bottom="0.7874015748031497" header="0.35433070866141736" footer="0.1968503937007874"/>
  <pageSetup firstPageNumber="143" useFirstPageNumber="1" horizontalDpi="600" verticalDpi="600" orientation="landscape" paperSize="9" r:id="rId2"/>
  <headerFooter alignWithMargins="0">
    <oddFooter>&amp;LPartea a IV-a&amp;R&amp;P</oddFooter>
  </headerFooter>
  <rowBreaks count="8" manualBreakCount="8">
    <brk id="19" max="5" man="1"/>
    <brk id="39" max="5" man="1"/>
    <brk id="60" max="5" man="1"/>
    <brk id="83" max="5" man="1"/>
    <brk id="107" max="5" man="1"/>
    <brk id="127" max="5" man="1"/>
    <brk id="152" max="5" man="1"/>
    <brk id="17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1"/>
  <sheetViews>
    <sheetView view="pageBreakPreview" zoomScaleNormal="60" zoomScaleSheetLayoutView="100" workbookViewId="0" topLeftCell="A189">
      <selection activeCell="D204" sqref="B197:D205"/>
    </sheetView>
  </sheetViews>
  <sheetFormatPr defaultColWidth="9.140625" defaultRowHeight="12.75"/>
  <cols>
    <col min="1" max="1" width="4.7109375" style="21" customWidth="1"/>
    <col min="2" max="2" width="22.8515625" style="212" customWidth="1"/>
    <col min="3" max="3" width="55.57421875" style="440" customWidth="1"/>
    <col min="4" max="4" width="15.140625" style="21" customWidth="1"/>
    <col min="5" max="5" width="14.8515625" style="111" customWidth="1"/>
    <col min="6" max="6" width="22.00390625" style="24" bestFit="1" customWidth="1"/>
    <col min="7" max="7" width="15.28125" style="220" customWidth="1"/>
    <col min="8" max="8" width="9.140625" style="220" customWidth="1"/>
    <col min="9" max="9" width="12.00390625" style="220" customWidth="1"/>
    <col min="10" max="10" width="9.140625" style="221" customWidth="1"/>
    <col min="11" max="11" width="11.00390625" style="221" bestFit="1" customWidth="1"/>
    <col min="12" max="13" width="9.140625" style="220" customWidth="1"/>
  </cols>
  <sheetData>
    <row r="1" spans="2:4" ht="15">
      <c r="B1" s="567" t="s">
        <v>12</v>
      </c>
      <c r="C1" s="567"/>
      <c r="D1" s="25"/>
    </row>
    <row r="2" spans="1:6" ht="45">
      <c r="A2" s="108" t="s">
        <v>602</v>
      </c>
      <c r="B2" s="108" t="s">
        <v>603</v>
      </c>
      <c r="C2" s="108" t="s">
        <v>616</v>
      </c>
      <c r="D2" s="222" t="s">
        <v>604</v>
      </c>
      <c r="E2" s="207" t="s">
        <v>615</v>
      </c>
      <c r="F2" s="108" t="s">
        <v>617</v>
      </c>
    </row>
    <row r="3" spans="1:6" ht="15">
      <c r="A3" s="11"/>
      <c r="B3" s="551" t="s">
        <v>803</v>
      </c>
      <c r="C3" s="551"/>
      <c r="D3" s="551"/>
      <c r="E3" s="551"/>
      <c r="F3" s="552"/>
    </row>
    <row r="4" spans="1:6" ht="28.5">
      <c r="A4" s="1">
        <v>1</v>
      </c>
      <c r="B4" s="164" t="s">
        <v>13</v>
      </c>
      <c r="C4" s="223" t="s">
        <v>14</v>
      </c>
      <c r="D4" s="224" t="s">
        <v>606</v>
      </c>
      <c r="E4" s="120">
        <v>964.90572</v>
      </c>
      <c r="F4" s="1" t="s">
        <v>612</v>
      </c>
    </row>
    <row r="5" spans="1:6" ht="14.25">
      <c r="A5" s="1">
        <v>2</v>
      </c>
      <c r="B5" s="164" t="s">
        <v>15</v>
      </c>
      <c r="C5" s="3" t="s">
        <v>16</v>
      </c>
      <c r="D5" s="224" t="s">
        <v>606</v>
      </c>
      <c r="E5" s="115">
        <v>945.9459459459459</v>
      </c>
      <c r="F5" s="1" t="s">
        <v>612</v>
      </c>
    </row>
    <row r="6" spans="1:6" ht="28.5">
      <c r="A6" s="1">
        <v>3</v>
      </c>
      <c r="B6" s="164" t="s">
        <v>17</v>
      </c>
      <c r="C6" s="6" t="s">
        <v>18</v>
      </c>
      <c r="D6" s="224" t="s">
        <v>606</v>
      </c>
      <c r="E6" s="115">
        <v>945.9459459459459</v>
      </c>
      <c r="F6" s="1" t="s">
        <v>612</v>
      </c>
    </row>
    <row r="7" spans="1:6" ht="28.5">
      <c r="A7" s="1">
        <v>4</v>
      </c>
      <c r="B7" s="164" t="s">
        <v>19</v>
      </c>
      <c r="C7" s="3" t="s">
        <v>20</v>
      </c>
      <c r="D7" s="224" t="s">
        <v>606</v>
      </c>
      <c r="E7" s="120">
        <v>903.11982</v>
      </c>
      <c r="F7" s="1" t="s">
        <v>612</v>
      </c>
    </row>
    <row r="8" spans="1:6" ht="14.25">
      <c r="A8" s="1">
        <v>5</v>
      </c>
      <c r="B8" s="574" t="s">
        <v>21</v>
      </c>
      <c r="C8" s="3" t="s">
        <v>22</v>
      </c>
      <c r="D8" s="224" t="s">
        <v>606</v>
      </c>
      <c r="E8" s="115">
        <v>1000</v>
      </c>
      <c r="F8" s="1" t="s">
        <v>612</v>
      </c>
    </row>
    <row r="9" spans="1:6" ht="14.25">
      <c r="A9" s="1">
        <v>6</v>
      </c>
      <c r="B9" s="546"/>
      <c r="C9" s="3" t="s">
        <v>23</v>
      </c>
      <c r="D9" s="224" t="s">
        <v>606</v>
      </c>
      <c r="E9" s="115">
        <v>300</v>
      </c>
      <c r="F9" s="1" t="s">
        <v>612</v>
      </c>
    </row>
    <row r="10" spans="1:6" ht="28.5">
      <c r="A10" s="1">
        <v>7</v>
      </c>
      <c r="B10" s="575"/>
      <c r="C10" s="6" t="s">
        <v>24</v>
      </c>
      <c r="D10" s="224" t="s">
        <v>606</v>
      </c>
      <c r="E10" s="115">
        <v>300</v>
      </c>
      <c r="F10" s="1" t="s">
        <v>612</v>
      </c>
    </row>
    <row r="11" spans="1:6" ht="28.5">
      <c r="A11" s="1">
        <v>8</v>
      </c>
      <c r="B11" s="164" t="s">
        <v>25</v>
      </c>
      <c r="C11" s="3" t="s">
        <v>26</v>
      </c>
      <c r="D11" s="224" t="s">
        <v>606</v>
      </c>
      <c r="E11" s="120">
        <v>1000</v>
      </c>
      <c r="F11" s="1" t="s">
        <v>612</v>
      </c>
    </row>
    <row r="12" spans="1:6" ht="14.25">
      <c r="A12" s="1">
        <v>9</v>
      </c>
      <c r="B12" s="557" t="s">
        <v>27</v>
      </c>
      <c r="C12" s="3" t="s">
        <v>28</v>
      </c>
      <c r="D12" s="224" t="s">
        <v>606</v>
      </c>
      <c r="E12" s="115">
        <v>1172.47</v>
      </c>
      <c r="F12" s="1" t="s">
        <v>612</v>
      </c>
    </row>
    <row r="13" spans="1:6" ht="28.5">
      <c r="A13" s="1">
        <v>10</v>
      </c>
      <c r="B13" s="557"/>
      <c r="C13" s="6" t="s">
        <v>29</v>
      </c>
      <c r="D13" s="224" t="s">
        <v>606</v>
      </c>
      <c r="E13" s="115">
        <v>675.6756756756756</v>
      </c>
      <c r="F13" s="1" t="s">
        <v>612</v>
      </c>
    </row>
    <row r="14" spans="1:6" ht="14.25">
      <c r="A14" s="1">
        <v>11</v>
      </c>
      <c r="B14" s="164" t="s">
        <v>30</v>
      </c>
      <c r="C14" s="3" t="s">
        <v>31</v>
      </c>
      <c r="D14" s="224" t="s">
        <v>606</v>
      </c>
      <c r="E14" s="115">
        <f>400/3.7</f>
        <v>108.1081081081081</v>
      </c>
      <c r="F14" s="1" t="s">
        <v>612</v>
      </c>
    </row>
    <row r="15" spans="1:6" ht="28.5">
      <c r="A15" s="1">
        <v>12</v>
      </c>
      <c r="B15" s="164" t="s">
        <v>32</v>
      </c>
      <c r="C15" s="6" t="s">
        <v>33</v>
      </c>
      <c r="D15" s="224" t="s">
        <v>606</v>
      </c>
      <c r="E15" s="115">
        <v>42</v>
      </c>
      <c r="F15" s="1" t="s">
        <v>612</v>
      </c>
    </row>
    <row r="16" spans="1:6" ht="42.75">
      <c r="A16" s="1">
        <v>13</v>
      </c>
      <c r="B16" s="164" t="s">
        <v>34</v>
      </c>
      <c r="C16" s="6" t="s">
        <v>35</v>
      </c>
      <c r="D16" s="224" t="s">
        <v>606</v>
      </c>
      <c r="E16" s="115">
        <v>708.638</v>
      </c>
      <c r="F16" s="1" t="s">
        <v>612</v>
      </c>
    </row>
    <row r="17" spans="1:6" ht="28.5">
      <c r="A17" s="1">
        <v>14</v>
      </c>
      <c r="B17" s="163" t="s">
        <v>17</v>
      </c>
      <c r="C17" s="3" t="s">
        <v>36</v>
      </c>
      <c r="D17" s="225" t="s">
        <v>605</v>
      </c>
      <c r="E17" s="115">
        <f>6000000/3500</f>
        <v>1714.2857142857142</v>
      </c>
      <c r="F17" s="1" t="s">
        <v>612</v>
      </c>
    </row>
    <row r="18" spans="1:6" ht="28.5">
      <c r="A18" s="1">
        <v>15</v>
      </c>
      <c r="B18" s="163" t="s">
        <v>37</v>
      </c>
      <c r="C18" s="3" t="s">
        <v>38</v>
      </c>
      <c r="D18" s="225" t="s">
        <v>605</v>
      </c>
      <c r="E18" s="115">
        <f>1500000/3500</f>
        <v>428.57142857142856</v>
      </c>
      <c r="F18" s="1" t="s">
        <v>612</v>
      </c>
    </row>
    <row r="19" spans="1:6" ht="14.25">
      <c r="A19" s="1">
        <v>16</v>
      </c>
      <c r="B19" s="163" t="s">
        <v>15</v>
      </c>
      <c r="C19" s="3" t="s">
        <v>39</v>
      </c>
      <c r="D19" s="225" t="s">
        <v>605</v>
      </c>
      <c r="E19" s="115">
        <f>1400000/3500</f>
        <v>400</v>
      </c>
      <c r="F19" s="1" t="s">
        <v>612</v>
      </c>
    </row>
    <row r="20" spans="1:6" ht="14.25">
      <c r="A20" s="1">
        <v>17</v>
      </c>
      <c r="B20" s="163" t="s">
        <v>40</v>
      </c>
      <c r="C20" s="3" t="s">
        <v>41</v>
      </c>
      <c r="D20" s="225" t="s">
        <v>605</v>
      </c>
      <c r="E20" s="115">
        <f>500000/3500</f>
        <v>142.85714285714286</v>
      </c>
      <c r="F20" s="1" t="s">
        <v>612</v>
      </c>
    </row>
    <row r="21" spans="1:6" ht="14.25">
      <c r="A21" s="1">
        <v>18</v>
      </c>
      <c r="B21" s="163" t="s">
        <v>25</v>
      </c>
      <c r="C21" s="3" t="s">
        <v>42</v>
      </c>
      <c r="D21" s="225" t="s">
        <v>605</v>
      </c>
      <c r="E21" s="115"/>
      <c r="F21" s="1" t="s">
        <v>612</v>
      </c>
    </row>
    <row r="22" spans="1:6" ht="14.25">
      <c r="A22" s="1">
        <v>19</v>
      </c>
      <c r="B22" s="163" t="s">
        <v>43</v>
      </c>
      <c r="C22" s="3" t="s">
        <v>44</v>
      </c>
      <c r="D22" s="225" t="s">
        <v>605</v>
      </c>
      <c r="E22" s="115">
        <f>100000/3500</f>
        <v>28.571428571428573</v>
      </c>
      <c r="F22" s="1" t="s">
        <v>612</v>
      </c>
    </row>
    <row r="23" spans="1:6" ht="28.5">
      <c r="A23" s="1">
        <v>20</v>
      </c>
      <c r="B23" s="163" t="s">
        <v>27</v>
      </c>
      <c r="C23" s="3" t="s">
        <v>45</v>
      </c>
      <c r="D23" s="225" t="s">
        <v>605</v>
      </c>
      <c r="E23" s="115">
        <f>3000000/3500</f>
        <v>857.1428571428571</v>
      </c>
      <c r="F23" s="1" t="s">
        <v>612</v>
      </c>
    </row>
    <row r="24" spans="1:6" ht="14.25">
      <c r="A24" s="1">
        <v>21</v>
      </c>
      <c r="B24" s="163" t="s">
        <v>46</v>
      </c>
      <c r="C24" s="3" t="s">
        <v>47</v>
      </c>
      <c r="D24" s="225" t="s">
        <v>605</v>
      </c>
      <c r="E24" s="115">
        <f>80000/3500</f>
        <v>22.857142857142858</v>
      </c>
      <c r="F24" s="1" t="s">
        <v>612</v>
      </c>
    </row>
    <row r="25" spans="1:6" ht="14.25">
      <c r="A25" s="1">
        <v>22</v>
      </c>
      <c r="B25" s="163" t="s">
        <v>48</v>
      </c>
      <c r="C25" s="3" t="s">
        <v>49</v>
      </c>
      <c r="D25" s="225" t="s">
        <v>605</v>
      </c>
      <c r="E25" s="115">
        <f>500000/3500</f>
        <v>142.85714285714286</v>
      </c>
      <c r="F25" s="1" t="s">
        <v>612</v>
      </c>
    </row>
    <row r="26" spans="1:6" ht="28.5">
      <c r="A26" s="1">
        <v>23</v>
      </c>
      <c r="B26" s="163" t="s">
        <v>50</v>
      </c>
      <c r="C26" s="3" t="s">
        <v>51</v>
      </c>
      <c r="D26" s="225" t="s">
        <v>605</v>
      </c>
      <c r="E26" s="115">
        <v>245</v>
      </c>
      <c r="F26" s="1" t="s">
        <v>612</v>
      </c>
    </row>
    <row r="27" spans="1:6" ht="15">
      <c r="A27" s="412"/>
      <c r="B27" s="496" t="s">
        <v>823</v>
      </c>
      <c r="C27" s="497"/>
      <c r="D27" s="498"/>
      <c r="E27" s="118">
        <f>SUM(E4:E26)</f>
        <v>13048.952072818536</v>
      </c>
      <c r="F27" s="108"/>
    </row>
    <row r="28" spans="1:6" ht="15">
      <c r="A28" s="520"/>
      <c r="B28" s="508"/>
      <c r="C28" s="508"/>
      <c r="D28" s="508"/>
      <c r="E28" s="521"/>
      <c r="F28" s="147"/>
    </row>
    <row r="29" spans="1:6" ht="15">
      <c r="A29" s="152"/>
      <c r="B29" s="536" t="s">
        <v>147</v>
      </c>
      <c r="C29" s="536"/>
      <c r="D29" s="231"/>
      <c r="E29" s="177"/>
      <c r="F29" s="147"/>
    </row>
    <row r="30" spans="1:6" ht="14.25">
      <c r="A30" s="1">
        <v>1</v>
      </c>
      <c r="B30" s="2" t="s">
        <v>70</v>
      </c>
      <c r="C30" s="6" t="s">
        <v>208</v>
      </c>
      <c r="D30" s="224" t="s">
        <v>607</v>
      </c>
      <c r="E30" s="119">
        <f>300000/3500</f>
        <v>85.71428571428571</v>
      </c>
      <c r="F30" s="1" t="s">
        <v>612</v>
      </c>
    </row>
    <row r="31" spans="1:6" ht="28.5">
      <c r="A31" s="1">
        <v>2</v>
      </c>
      <c r="B31" s="2" t="s">
        <v>32</v>
      </c>
      <c r="C31" s="3" t="s">
        <v>209</v>
      </c>
      <c r="D31" s="224" t="s">
        <v>606</v>
      </c>
      <c r="E31" s="119">
        <v>600</v>
      </c>
      <c r="F31" s="1" t="s">
        <v>612</v>
      </c>
    </row>
    <row r="32" spans="1:6" ht="42.75">
      <c r="A32" s="1">
        <v>3</v>
      </c>
      <c r="B32" s="2" t="s">
        <v>13</v>
      </c>
      <c r="C32" s="2" t="s">
        <v>203</v>
      </c>
      <c r="D32" s="224" t="s">
        <v>606</v>
      </c>
      <c r="E32" s="120">
        <f>50000/3500</f>
        <v>14.285714285714286</v>
      </c>
      <c r="F32" s="1" t="s">
        <v>612</v>
      </c>
    </row>
    <row r="33" spans="1:6" ht="14.25">
      <c r="A33" s="1">
        <v>4</v>
      </c>
      <c r="B33" s="2" t="s">
        <v>15</v>
      </c>
      <c r="C33" s="2" t="s">
        <v>204</v>
      </c>
      <c r="D33" s="224" t="s">
        <v>605</v>
      </c>
      <c r="E33" s="120">
        <f>50000/3500</f>
        <v>14.285714285714286</v>
      </c>
      <c r="F33" s="1" t="s">
        <v>612</v>
      </c>
    </row>
    <row r="34" spans="1:6" ht="28.5">
      <c r="A34" s="1">
        <v>5</v>
      </c>
      <c r="B34" s="2" t="s">
        <v>43</v>
      </c>
      <c r="C34" s="3" t="s">
        <v>205</v>
      </c>
      <c r="D34" s="224" t="s">
        <v>206</v>
      </c>
      <c r="E34" s="119">
        <v>97.29729729729729</v>
      </c>
      <c r="F34" s="1" t="s">
        <v>612</v>
      </c>
    </row>
    <row r="35" spans="1:6" ht="14.25">
      <c r="A35" s="1">
        <v>6</v>
      </c>
      <c r="B35" s="2" t="s">
        <v>27</v>
      </c>
      <c r="C35" s="3" t="s">
        <v>207</v>
      </c>
      <c r="D35" s="224" t="s">
        <v>605</v>
      </c>
      <c r="E35" s="119">
        <v>6.756756756756757</v>
      </c>
      <c r="F35" s="1" t="s">
        <v>612</v>
      </c>
    </row>
    <row r="36" spans="1:6" ht="15">
      <c r="A36" s="192"/>
      <c r="B36" s="266"/>
      <c r="C36" s="514" t="s">
        <v>148</v>
      </c>
      <c r="D36" s="267"/>
      <c r="E36" s="144">
        <f>SUM(E30:E35)</f>
        <v>818.3397683397684</v>
      </c>
      <c r="F36" s="201"/>
    </row>
    <row r="37" spans="1:6" ht="15">
      <c r="A37" s="520"/>
      <c r="B37" s="508"/>
      <c r="C37" s="508"/>
      <c r="D37" s="508"/>
      <c r="E37" s="521"/>
      <c r="F37" s="147"/>
    </row>
    <row r="38" spans="1:6" ht="15">
      <c r="A38" s="150"/>
      <c r="B38" s="536" t="s">
        <v>52</v>
      </c>
      <c r="C38" s="536"/>
      <c r="D38" s="231"/>
      <c r="E38" s="177"/>
      <c r="F38" s="147"/>
    </row>
    <row r="39" spans="1:6" ht="28.5">
      <c r="A39" s="62">
        <v>1</v>
      </c>
      <c r="B39" s="506" t="s">
        <v>90</v>
      </c>
      <c r="C39" s="2" t="s">
        <v>7</v>
      </c>
      <c r="D39" s="224" t="s">
        <v>606</v>
      </c>
      <c r="E39" s="120">
        <v>56.18</v>
      </c>
      <c r="F39" s="1" t="s">
        <v>613</v>
      </c>
    </row>
    <row r="40" spans="1:6" ht="14.25">
      <c r="A40" s="62">
        <v>2</v>
      </c>
      <c r="B40" s="506"/>
      <c r="C40" s="2" t="s">
        <v>8</v>
      </c>
      <c r="D40" s="224" t="s">
        <v>606</v>
      </c>
      <c r="E40" s="120">
        <v>431</v>
      </c>
      <c r="F40" s="1" t="s">
        <v>613</v>
      </c>
    </row>
    <row r="41" spans="1:6" ht="14.25">
      <c r="A41" s="4">
        <v>3</v>
      </c>
      <c r="B41" s="3" t="s">
        <v>15</v>
      </c>
      <c r="C41" s="3" t="s">
        <v>53</v>
      </c>
      <c r="D41" s="224" t="s">
        <v>606</v>
      </c>
      <c r="E41" s="119">
        <v>2254</v>
      </c>
      <c r="F41" s="1" t="s">
        <v>613</v>
      </c>
    </row>
    <row r="42" spans="1:6" ht="28.5">
      <c r="A42" s="4">
        <v>4</v>
      </c>
      <c r="B42" s="3" t="s">
        <v>37</v>
      </c>
      <c r="C42" s="3" t="s">
        <v>54</v>
      </c>
      <c r="D42" s="224" t="s">
        <v>606</v>
      </c>
      <c r="E42" s="119">
        <v>1000</v>
      </c>
      <c r="F42" s="1" t="s">
        <v>613</v>
      </c>
    </row>
    <row r="43" spans="1:6" ht="28.5">
      <c r="A43" s="4">
        <v>5</v>
      </c>
      <c r="B43" s="3" t="s">
        <v>17</v>
      </c>
      <c r="C43" s="3" t="s">
        <v>55</v>
      </c>
      <c r="D43" s="224" t="s">
        <v>56</v>
      </c>
      <c r="E43" s="119">
        <v>344</v>
      </c>
      <c r="F43" s="1" t="s">
        <v>613</v>
      </c>
    </row>
    <row r="44" spans="1:6" ht="28.5">
      <c r="A44" s="4">
        <v>6</v>
      </c>
      <c r="B44" s="232" t="s">
        <v>21</v>
      </c>
      <c r="C44" s="233" t="s">
        <v>57</v>
      </c>
      <c r="D44" s="234" t="s">
        <v>606</v>
      </c>
      <c r="E44" s="171">
        <v>625.7</v>
      </c>
      <c r="F44" s="1" t="s">
        <v>613</v>
      </c>
    </row>
    <row r="45" spans="1:6" ht="14.25">
      <c r="A45" s="4">
        <v>7</v>
      </c>
      <c r="B45" s="3" t="s">
        <v>40</v>
      </c>
      <c r="C45" s="3" t="s">
        <v>58</v>
      </c>
      <c r="D45" s="224" t="s">
        <v>405</v>
      </c>
      <c r="E45" s="119">
        <v>1000</v>
      </c>
      <c r="F45" s="1" t="s">
        <v>613</v>
      </c>
    </row>
    <row r="46" spans="1:6" ht="28.5">
      <c r="A46" s="4">
        <v>8</v>
      </c>
      <c r="B46" s="2" t="s">
        <v>59</v>
      </c>
      <c r="C46" s="6" t="s">
        <v>60</v>
      </c>
      <c r="D46" s="224" t="s">
        <v>606</v>
      </c>
      <c r="E46" s="119">
        <v>1800</v>
      </c>
      <c r="F46" s="1" t="s">
        <v>613</v>
      </c>
    </row>
    <row r="47" spans="1:6" ht="14.25">
      <c r="A47" s="4">
        <v>9</v>
      </c>
      <c r="B47" s="232" t="s">
        <v>43</v>
      </c>
      <c r="C47" s="233" t="s">
        <v>61</v>
      </c>
      <c r="D47" s="234" t="s">
        <v>606</v>
      </c>
      <c r="E47" s="171">
        <v>980</v>
      </c>
      <c r="F47" s="1" t="s">
        <v>613</v>
      </c>
    </row>
    <row r="48" spans="1:6" ht="14.25">
      <c r="A48" s="4">
        <v>10</v>
      </c>
      <c r="B48" s="3" t="s">
        <v>62</v>
      </c>
      <c r="C48" s="3" t="s">
        <v>63</v>
      </c>
      <c r="D48" s="224" t="s">
        <v>56</v>
      </c>
      <c r="E48" s="119">
        <v>750</v>
      </c>
      <c r="F48" s="1" t="s">
        <v>613</v>
      </c>
    </row>
    <row r="49" spans="1:6" ht="14.25">
      <c r="A49" s="4">
        <v>11</v>
      </c>
      <c r="B49" s="574" t="s">
        <v>64</v>
      </c>
      <c r="C49" s="6" t="s">
        <v>65</v>
      </c>
      <c r="D49" s="224" t="s">
        <v>56</v>
      </c>
      <c r="E49" s="119">
        <f>150000/3500</f>
        <v>42.857142857142854</v>
      </c>
      <c r="F49" s="1" t="s">
        <v>613</v>
      </c>
    </row>
    <row r="50" spans="1:6" ht="14.25">
      <c r="A50" s="4">
        <v>12</v>
      </c>
      <c r="B50" s="535"/>
      <c r="C50" s="6" t="s">
        <v>66</v>
      </c>
      <c r="D50" s="224" t="s">
        <v>56</v>
      </c>
      <c r="E50" s="119">
        <f>350000/3500</f>
        <v>100</v>
      </c>
      <c r="F50" s="1" t="s">
        <v>613</v>
      </c>
    </row>
    <row r="51" spans="1:6" ht="28.5">
      <c r="A51" s="4">
        <v>13</v>
      </c>
      <c r="B51" s="570"/>
      <c r="C51" s="233" t="s">
        <v>67</v>
      </c>
      <c r="D51" s="234" t="s">
        <v>56</v>
      </c>
      <c r="E51" s="171">
        <v>356</v>
      </c>
      <c r="F51" s="1" t="s">
        <v>613</v>
      </c>
    </row>
    <row r="52" spans="1:6" ht="14.25">
      <c r="A52" s="4">
        <v>14</v>
      </c>
      <c r="B52" s="2" t="s">
        <v>68</v>
      </c>
      <c r="C52" s="3" t="s">
        <v>69</v>
      </c>
      <c r="D52" s="224" t="s">
        <v>606</v>
      </c>
      <c r="E52" s="119">
        <v>431</v>
      </c>
      <c r="F52" s="1" t="s">
        <v>613</v>
      </c>
    </row>
    <row r="53" spans="1:6" ht="28.5">
      <c r="A53" s="4">
        <v>15</v>
      </c>
      <c r="B53" s="3" t="s">
        <v>70</v>
      </c>
      <c r="C53" s="3" t="s">
        <v>71</v>
      </c>
      <c r="D53" s="224" t="s">
        <v>606</v>
      </c>
      <c r="E53" s="119">
        <v>2778</v>
      </c>
      <c r="F53" s="1" t="s">
        <v>613</v>
      </c>
    </row>
    <row r="54" spans="1:6" ht="28.5">
      <c r="A54" s="4">
        <v>16</v>
      </c>
      <c r="B54" s="3" t="s">
        <v>46</v>
      </c>
      <c r="C54" s="2" t="s">
        <v>72</v>
      </c>
      <c r="D54" s="224" t="s">
        <v>606</v>
      </c>
      <c r="E54" s="119">
        <v>1000</v>
      </c>
      <c r="F54" s="1" t="s">
        <v>613</v>
      </c>
    </row>
    <row r="55" spans="1:6" ht="28.5">
      <c r="A55" s="4">
        <v>17</v>
      </c>
      <c r="B55" s="3" t="s">
        <v>34</v>
      </c>
      <c r="C55" s="6" t="s">
        <v>73</v>
      </c>
      <c r="D55" s="224" t="s">
        <v>56</v>
      </c>
      <c r="E55" s="119">
        <v>610</v>
      </c>
      <c r="F55" s="1" t="s">
        <v>613</v>
      </c>
    </row>
    <row r="56" spans="1:6" ht="28.5">
      <c r="A56" s="4">
        <v>18</v>
      </c>
      <c r="B56" s="3" t="s">
        <v>74</v>
      </c>
      <c r="C56" s="6" t="s">
        <v>75</v>
      </c>
      <c r="D56" s="224" t="s">
        <v>606</v>
      </c>
      <c r="E56" s="119">
        <v>981</v>
      </c>
      <c r="F56" s="1" t="s">
        <v>613</v>
      </c>
    </row>
    <row r="57" spans="1:6" ht="14.25">
      <c r="A57" s="4">
        <v>19</v>
      </c>
      <c r="B57" s="2" t="s">
        <v>76</v>
      </c>
      <c r="C57" s="17" t="s">
        <v>77</v>
      </c>
      <c r="D57" s="224" t="s">
        <v>606</v>
      </c>
      <c r="E57" s="119">
        <v>431</v>
      </c>
      <c r="F57" s="1" t="s">
        <v>613</v>
      </c>
    </row>
    <row r="58" spans="1:6" ht="14.25">
      <c r="A58" s="4">
        <v>20</v>
      </c>
      <c r="B58" s="235" t="s">
        <v>78</v>
      </c>
      <c r="C58" s="2" t="s">
        <v>79</v>
      </c>
      <c r="D58" s="236" t="s">
        <v>608</v>
      </c>
      <c r="E58" s="119"/>
      <c r="F58" s="1" t="s">
        <v>613</v>
      </c>
    </row>
    <row r="59" spans="1:6" ht="28.5">
      <c r="A59" s="4">
        <v>21</v>
      </c>
      <c r="B59" s="235" t="s">
        <v>17</v>
      </c>
      <c r="C59" s="2" t="s">
        <v>80</v>
      </c>
      <c r="D59" s="236" t="s">
        <v>608</v>
      </c>
      <c r="E59" s="119">
        <f>20000000/3500</f>
        <v>5714.285714285715</v>
      </c>
      <c r="F59" s="1" t="s">
        <v>613</v>
      </c>
    </row>
    <row r="60" spans="1:6" ht="14.25">
      <c r="A60" s="4">
        <v>22</v>
      </c>
      <c r="B60" s="235" t="s">
        <v>81</v>
      </c>
      <c r="C60" s="3" t="s">
        <v>82</v>
      </c>
      <c r="D60" s="236" t="s">
        <v>608</v>
      </c>
      <c r="E60" s="119"/>
      <c r="F60" s="1" t="s">
        <v>613</v>
      </c>
    </row>
    <row r="61" spans="1:6" ht="14.25">
      <c r="A61" s="4">
        <v>23</v>
      </c>
      <c r="B61" s="3" t="s">
        <v>83</v>
      </c>
      <c r="C61" s="6" t="s">
        <v>84</v>
      </c>
      <c r="D61" s="236" t="s">
        <v>608</v>
      </c>
      <c r="E61" s="119"/>
      <c r="F61" s="1" t="s">
        <v>613</v>
      </c>
    </row>
    <row r="62" spans="1:6" ht="42.75">
      <c r="A62" s="4">
        <v>24</v>
      </c>
      <c r="B62" s="37" t="s">
        <v>59</v>
      </c>
      <c r="C62" s="6" t="s">
        <v>85</v>
      </c>
      <c r="D62" s="236" t="s">
        <v>608</v>
      </c>
      <c r="E62" s="119">
        <v>4000</v>
      </c>
      <c r="F62" s="1" t="s">
        <v>613</v>
      </c>
    </row>
    <row r="63" spans="1:6" ht="14.25">
      <c r="A63" s="4">
        <v>25</v>
      </c>
      <c r="B63" s="503" t="s">
        <v>25</v>
      </c>
      <c r="C63" s="6" t="s">
        <v>86</v>
      </c>
      <c r="D63" s="236" t="s">
        <v>608</v>
      </c>
      <c r="E63" s="119"/>
      <c r="F63" s="1" t="s">
        <v>613</v>
      </c>
    </row>
    <row r="64" spans="1:6" ht="14.25">
      <c r="A64" s="4">
        <v>26</v>
      </c>
      <c r="B64" s="504"/>
      <c r="C64" s="6" t="s">
        <v>87</v>
      </c>
      <c r="D64" s="236" t="s">
        <v>608</v>
      </c>
      <c r="E64" s="119"/>
      <c r="F64" s="1" t="s">
        <v>613</v>
      </c>
    </row>
    <row r="65" spans="1:6" ht="28.5">
      <c r="A65" s="4">
        <v>27</v>
      </c>
      <c r="B65" s="505"/>
      <c r="C65" s="6" t="s">
        <v>88</v>
      </c>
      <c r="D65" s="236" t="s">
        <v>608</v>
      </c>
      <c r="E65" s="119"/>
      <c r="F65" s="1" t="s">
        <v>613</v>
      </c>
    </row>
    <row r="66" spans="1:6" ht="28.5">
      <c r="A66" s="4">
        <v>28</v>
      </c>
      <c r="B66" s="209" t="s">
        <v>68</v>
      </c>
      <c r="C66" s="233" t="s">
        <v>89</v>
      </c>
      <c r="D66" s="236" t="s">
        <v>608</v>
      </c>
      <c r="E66" s="171"/>
      <c r="F66" s="1" t="s">
        <v>613</v>
      </c>
    </row>
    <row r="67" spans="1:6" ht="28.5">
      <c r="A67" s="4">
        <v>29</v>
      </c>
      <c r="B67" s="237" t="s">
        <v>48</v>
      </c>
      <c r="C67" s="2" t="s">
        <v>91</v>
      </c>
      <c r="D67" s="236" t="s">
        <v>608</v>
      </c>
      <c r="E67" s="119">
        <f>60000/3500</f>
        <v>17.142857142857142</v>
      </c>
      <c r="F67" s="1" t="s">
        <v>613</v>
      </c>
    </row>
    <row r="68" spans="1:6" ht="28.5">
      <c r="A68" s="4">
        <v>30</v>
      </c>
      <c r="B68" s="238" t="s">
        <v>74</v>
      </c>
      <c r="C68" s="33" t="s">
        <v>92</v>
      </c>
      <c r="D68" s="239" t="s">
        <v>608</v>
      </c>
      <c r="E68" s="119">
        <v>210</v>
      </c>
      <c r="F68" s="1" t="s">
        <v>613</v>
      </c>
    </row>
    <row r="69" spans="1:6" ht="15">
      <c r="A69" s="178"/>
      <c r="B69" s="494" t="s">
        <v>859</v>
      </c>
      <c r="C69" s="494"/>
      <c r="D69" s="495"/>
      <c r="E69" s="124">
        <f>SUM(E39:E68)</f>
        <v>25912.16571428572</v>
      </c>
      <c r="F69" s="1"/>
    </row>
    <row r="70" spans="1:6" ht="15">
      <c r="A70" s="472"/>
      <c r="B70" s="176"/>
      <c r="C70" s="176"/>
      <c r="D70" s="176"/>
      <c r="E70" s="523"/>
      <c r="F70" s="473"/>
    </row>
    <row r="71" spans="1:6" ht="15">
      <c r="A71" s="150"/>
      <c r="B71" s="240" t="s">
        <v>93</v>
      </c>
      <c r="C71" s="176"/>
      <c r="D71" s="231"/>
      <c r="E71" s="177"/>
      <c r="F71" s="147"/>
    </row>
    <row r="72" spans="1:6" ht="28.5">
      <c r="A72" s="16">
        <v>1</v>
      </c>
      <c r="B72" s="18" t="s">
        <v>13</v>
      </c>
      <c r="C72" s="18" t="s">
        <v>94</v>
      </c>
      <c r="D72" s="241" t="s">
        <v>606</v>
      </c>
      <c r="E72" s="114">
        <v>11832</v>
      </c>
      <c r="F72" s="16" t="s">
        <v>613</v>
      </c>
    </row>
    <row r="73" spans="1:6" ht="28.5">
      <c r="A73" s="1">
        <v>2</v>
      </c>
      <c r="B73" s="2" t="s">
        <v>15</v>
      </c>
      <c r="C73" s="233" t="s">
        <v>95</v>
      </c>
      <c r="D73" s="234" t="s">
        <v>606</v>
      </c>
      <c r="E73" s="171">
        <v>230</v>
      </c>
      <c r="F73" s="1" t="s">
        <v>613</v>
      </c>
    </row>
    <row r="74" spans="1:6" ht="14.25">
      <c r="A74" s="1">
        <v>3</v>
      </c>
      <c r="B74" s="2" t="s">
        <v>37</v>
      </c>
      <c r="C74" s="3" t="s">
        <v>96</v>
      </c>
      <c r="D74" s="224" t="s">
        <v>606</v>
      </c>
      <c r="E74" s="120">
        <v>2800</v>
      </c>
      <c r="F74" s="1" t="s">
        <v>613</v>
      </c>
    </row>
    <row r="75" spans="1:6" ht="14.25">
      <c r="A75" s="1">
        <v>4</v>
      </c>
      <c r="B75" s="533" t="s">
        <v>21</v>
      </c>
      <c r="C75" s="3" t="s">
        <v>97</v>
      </c>
      <c r="D75" s="224" t="s">
        <v>606</v>
      </c>
      <c r="E75" s="120">
        <v>1500</v>
      </c>
      <c r="F75" s="1" t="s">
        <v>613</v>
      </c>
    </row>
    <row r="76" spans="1:6" ht="28.5">
      <c r="A76" s="1">
        <v>5</v>
      </c>
      <c r="B76" s="533"/>
      <c r="C76" s="3" t="s">
        <v>98</v>
      </c>
      <c r="D76" s="224" t="s">
        <v>606</v>
      </c>
      <c r="E76" s="120">
        <v>11832</v>
      </c>
      <c r="F76" s="1" t="s">
        <v>613</v>
      </c>
    </row>
    <row r="77" spans="1:6" ht="28.5">
      <c r="A77" s="16">
        <v>6</v>
      </c>
      <c r="B77" s="2" t="s">
        <v>59</v>
      </c>
      <c r="C77" s="6" t="s">
        <v>99</v>
      </c>
      <c r="D77" s="224" t="s">
        <v>606</v>
      </c>
      <c r="E77" s="120">
        <v>1417.73</v>
      </c>
      <c r="F77" s="1" t="s">
        <v>613</v>
      </c>
    </row>
    <row r="78" spans="1:6" ht="14.25">
      <c r="A78" s="1">
        <v>7</v>
      </c>
      <c r="B78" s="2" t="s">
        <v>68</v>
      </c>
      <c r="C78" s="3" t="s">
        <v>100</v>
      </c>
      <c r="D78" s="224" t="s">
        <v>606</v>
      </c>
      <c r="E78" s="120">
        <v>552</v>
      </c>
      <c r="F78" s="1" t="s">
        <v>613</v>
      </c>
    </row>
    <row r="79" spans="1:6" ht="14.25">
      <c r="A79" s="1">
        <v>8</v>
      </c>
      <c r="B79" s="2" t="s">
        <v>101</v>
      </c>
      <c r="C79" s="6" t="s">
        <v>102</v>
      </c>
      <c r="D79" s="224" t="s">
        <v>56</v>
      </c>
      <c r="E79" s="122">
        <v>680</v>
      </c>
      <c r="F79" s="1" t="s">
        <v>613</v>
      </c>
    </row>
    <row r="80" spans="1:6" ht="14.25">
      <c r="A80" s="16"/>
      <c r="B80" s="574" t="s">
        <v>90</v>
      </c>
      <c r="C80" s="6" t="s">
        <v>6</v>
      </c>
      <c r="D80" s="224" t="s">
        <v>606</v>
      </c>
      <c r="E80" s="122">
        <v>1685.4</v>
      </c>
      <c r="F80" s="1" t="s">
        <v>613</v>
      </c>
    </row>
    <row r="81" spans="1:6" ht="14.25">
      <c r="A81" s="16">
        <v>9</v>
      </c>
      <c r="B81" s="575"/>
      <c r="C81" s="3" t="s">
        <v>103</v>
      </c>
      <c r="D81" s="225" t="s">
        <v>606</v>
      </c>
      <c r="E81" s="122">
        <v>400</v>
      </c>
      <c r="F81" s="1" t="s">
        <v>613</v>
      </c>
    </row>
    <row r="82" spans="1:6" ht="28.5">
      <c r="A82" s="1">
        <v>10</v>
      </c>
      <c r="B82" s="2" t="s">
        <v>104</v>
      </c>
      <c r="C82" s="3" t="s">
        <v>94</v>
      </c>
      <c r="D82" s="225" t="s">
        <v>606</v>
      </c>
      <c r="E82" s="122">
        <v>2400</v>
      </c>
      <c r="F82" s="1" t="s">
        <v>613</v>
      </c>
    </row>
    <row r="83" spans="1:6" ht="14.25">
      <c r="A83" s="16">
        <v>11</v>
      </c>
      <c r="B83" s="3" t="s">
        <v>46</v>
      </c>
      <c r="C83" s="233" t="s">
        <v>105</v>
      </c>
      <c r="D83" s="234" t="s">
        <v>606</v>
      </c>
      <c r="E83" s="171">
        <v>348</v>
      </c>
      <c r="F83" s="1" t="s">
        <v>613</v>
      </c>
    </row>
    <row r="84" spans="1:6" ht="14.25">
      <c r="A84" s="1">
        <v>12</v>
      </c>
      <c r="B84" s="2" t="s">
        <v>48</v>
      </c>
      <c r="C84" s="3" t="s">
        <v>106</v>
      </c>
      <c r="D84" s="224" t="s">
        <v>56</v>
      </c>
      <c r="E84" s="122">
        <v>160</v>
      </c>
      <c r="F84" s="1" t="s">
        <v>613</v>
      </c>
    </row>
    <row r="85" spans="1:6" ht="14.25">
      <c r="A85" s="4">
        <v>13</v>
      </c>
      <c r="B85" s="575" t="s">
        <v>15</v>
      </c>
      <c r="C85" s="18" t="s">
        <v>107</v>
      </c>
      <c r="D85" s="242" t="s">
        <v>608</v>
      </c>
      <c r="E85" s="114">
        <v>322.275</v>
      </c>
      <c r="F85" s="16" t="s">
        <v>613</v>
      </c>
    </row>
    <row r="86" spans="1:6" ht="14.25">
      <c r="A86" s="4">
        <v>14</v>
      </c>
      <c r="B86" s="533"/>
      <c r="C86" s="3" t="s">
        <v>108</v>
      </c>
      <c r="D86" s="225" t="s">
        <v>608</v>
      </c>
      <c r="E86" s="120">
        <v>773.46</v>
      </c>
      <c r="F86" s="1" t="s">
        <v>613</v>
      </c>
    </row>
    <row r="87" spans="1:6" ht="14.25">
      <c r="A87" s="4">
        <v>15</v>
      </c>
      <c r="B87" s="3" t="s">
        <v>37</v>
      </c>
      <c r="C87" s="3" t="s">
        <v>109</v>
      </c>
      <c r="D87" s="225" t="s">
        <v>608</v>
      </c>
      <c r="E87" s="120">
        <f>9800000/3500</f>
        <v>2800</v>
      </c>
      <c r="F87" s="1" t="s">
        <v>613</v>
      </c>
    </row>
    <row r="88" spans="1:6" ht="14.25">
      <c r="A88" s="4">
        <v>16</v>
      </c>
      <c r="B88" s="533" t="s">
        <v>78</v>
      </c>
      <c r="C88" s="3" t="s">
        <v>872</v>
      </c>
      <c r="D88" s="225" t="s">
        <v>608</v>
      </c>
      <c r="E88" s="120">
        <v>338.55</v>
      </c>
      <c r="F88" s="1" t="s">
        <v>613</v>
      </c>
    </row>
    <row r="89" spans="1:6" ht="14.25">
      <c r="A89" s="4">
        <v>17</v>
      </c>
      <c r="B89" s="533"/>
      <c r="C89" s="3" t="s">
        <v>873</v>
      </c>
      <c r="D89" s="225" t="s">
        <v>608</v>
      </c>
      <c r="E89" s="120">
        <v>812.52</v>
      </c>
      <c r="F89" s="1" t="s">
        <v>613</v>
      </c>
    </row>
    <row r="90" spans="1:6" ht="14.25">
      <c r="A90" s="4">
        <v>18</v>
      </c>
      <c r="B90" s="533" t="s">
        <v>17</v>
      </c>
      <c r="C90" s="3" t="s">
        <v>872</v>
      </c>
      <c r="D90" s="225" t="s">
        <v>608</v>
      </c>
      <c r="E90" s="120">
        <v>189.825</v>
      </c>
      <c r="F90" s="1" t="s">
        <v>613</v>
      </c>
    </row>
    <row r="91" spans="1:6" ht="14.25">
      <c r="A91" s="4">
        <v>19</v>
      </c>
      <c r="B91" s="533"/>
      <c r="C91" s="3" t="s">
        <v>873</v>
      </c>
      <c r="D91" s="225" t="s">
        <v>608</v>
      </c>
      <c r="E91" s="120">
        <v>455.58</v>
      </c>
      <c r="F91" s="1" t="s">
        <v>613</v>
      </c>
    </row>
    <row r="92" spans="1:6" ht="14.25">
      <c r="A92" s="4">
        <v>20</v>
      </c>
      <c r="B92" s="3" t="s">
        <v>110</v>
      </c>
      <c r="C92" s="3" t="s">
        <v>111</v>
      </c>
      <c r="D92" s="225" t="s">
        <v>608</v>
      </c>
      <c r="E92" s="120">
        <v>2780</v>
      </c>
      <c r="F92" s="1" t="s">
        <v>613</v>
      </c>
    </row>
    <row r="93" spans="1:6" ht="14.25">
      <c r="A93" s="4">
        <v>21</v>
      </c>
      <c r="B93" s="2" t="s">
        <v>40</v>
      </c>
      <c r="C93" s="3" t="s">
        <v>112</v>
      </c>
      <c r="D93" s="225" t="s">
        <v>608</v>
      </c>
      <c r="E93" s="120">
        <f>3000000/3500</f>
        <v>857.1428571428571</v>
      </c>
      <c r="F93" s="1" t="s">
        <v>613</v>
      </c>
    </row>
    <row r="94" spans="1:6" ht="14.25">
      <c r="A94" s="4">
        <v>22</v>
      </c>
      <c r="B94" s="533" t="s">
        <v>83</v>
      </c>
      <c r="C94" s="3" t="s">
        <v>872</v>
      </c>
      <c r="D94" s="225" t="s">
        <v>608</v>
      </c>
      <c r="E94" s="120">
        <v>283.35</v>
      </c>
      <c r="F94" s="1" t="s">
        <v>613</v>
      </c>
    </row>
    <row r="95" spans="1:6" ht="14.25">
      <c r="A95" s="4">
        <v>23</v>
      </c>
      <c r="B95" s="533"/>
      <c r="C95" s="3" t="s">
        <v>873</v>
      </c>
      <c r="D95" s="225" t="s">
        <v>608</v>
      </c>
      <c r="E95" s="120">
        <v>680.04</v>
      </c>
      <c r="F95" s="1" t="s">
        <v>613</v>
      </c>
    </row>
    <row r="96" spans="1:6" ht="42.75">
      <c r="A96" s="4">
        <v>24</v>
      </c>
      <c r="B96" s="2" t="s">
        <v>59</v>
      </c>
      <c r="C96" s="6" t="s">
        <v>113</v>
      </c>
      <c r="D96" s="225" t="s">
        <v>608</v>
      </c>
      <c r="E96" s="120">
        <v>5000</v>
      </c>
      <c r="F96" s="1" t="s">
        <v>613</v>
      </c>
    </row>
    <row r="97" spans="1:6" ht="14.25">
      <c r="A97" s="4">
        <v>25</v>
      </c>
      <c r="B97" s="533" t="s">
        <v>25</v>
      </c>
      <c r="C97" s="3" t="s">
        <v>114</v>
      </c>
      <c r="D97" s="225" t="s">
        <v>608</v>
      </c>
      <c r="E97" s="120"/>
      <c r="F97" s="1" t="s">
        <v>613</v>
      </c>
    </row>
    <row r="98" spans="1:6" ht="14.25">
      <c r="A98" s="4">
        <v>26</v>
      </c>
      <c r="B98" s="533"/>
      <c r="C98" s="3" t="s">
        <v>872</v>
      </c>
      <c r="D98" s="225" t="s">
        <v>608</v>
      </c>
      <c r="E98" s="120">
        <v>1091.84</v>
      </c>
      <c r="F98" s="1" t="s">
        <v>613</v>
      </c>
    </row>
    <row r="99" spans="1:6" ht="14.25">
      <c r="A99" s="4">
        <v>27</v>
      </c>
      <c r="B99" s="533"/>
      <c r="C99" s="3" t="s">
        <v>873</v>
      </c>
      <c r="D99" s="225" t="s">
        <v>608</v>
      </c>
      <c r="E99" s="120">
        <v>818.88</v>
      </c>
      <c r="F99" s="1" t="s">
        <v>613</v>
      </c>
    </row>
    <row r="100" spans="1:6" ht="14.25">
      <c r="A100" s="4">
        <v>28</v>
      </c>
      <c r="B100" s="533" t="s">
        <v>43</v>
      </c>
      <c r="C100" s="3" t="s">
        <v>872</v>
      </c>
      <c r="D100" s="225" t="s">
        <v>608</v>
      </c>
      <c r="E100" s="120">
        <v>372.75</v>
      </c>
      <c r="F100" s="1" t="s">
        <v>613</v>
      </c>
    </row>
    <row r="101" spans="1:6" ht="14.25">
      <c r="A101" s="4">
        <v>29</v>
      </c>
      <c r="B101" s="533"/>
      <c r="C101" s="3" t="s">
        <v>873</v>
      </c>
      <c r="D101" s="225" t="s">
        <v>608</v>
      </c>
      <c r="E101" s="120">
        <v>894.6</v>
      </c>
      <c r="F101" s="1" t="s">
        <v>613</v>
      </c>
    </row>
    <row r="102" spans="1:6" ht="14.25">
      <c r="A102" s="4">
        <v>30</v>
      </c>
      <c r="B102" s="533" t="s">
        <v>62</v>
      </c>
      <c r="C102" s="3" t="s">
        <v>872</v>
      </c>
      <c r="D102" s="225" t="s">
        <v>608</v>
      </c>
      <c r="E102" s="120">
        <v>347.925</v>
      </c>
      <c r="F102" s="1" t="s">
        <v>613</v>
      </c>
    </row>
    <row r="103" spans="1:6" ht="14.25">
      <c r="A103" s="4">
        <v>31</v>
      </c>
      <c r="B103" s="533"/>
      <c r="C103" s="3" t="s">
        <v>873</v>
      </c>
      <c r="D103" s="225" t="s">
        <v>608</v>
      </c>
      <c r="E103" s="120">
        <v>835.02</v>
      </c>
      <c r="F103" s="1" t="s">
        <v>613</v>
      </c>
    </row>
    <row r="104" spans="1:6" ht="14.25">
      <c r="A104" s="4">
        <v>32</v>
      </c>
      <c r="B104" s="533" t="s">
        <v>115</v>
      </c>
      <c r="C104" s="3" t="s">
        <v>872</v>
      </c>
      <c r="D104" s="225" t="s">
        <v>608</v>
      </c>
      <c r="E104" s="120">
        <v>220.5</v>
      </c>
      <c r="F104" s="1" t="s">
        <v>613</v>
      </c>
    </row>
    <row r="105" spans="1:6" ht="14.25">
      <c r="A105" s="4">
        <v>33</v>
      </c>
      <c r="B105" s="533"/>
      <c r="C105" s="3" t="s">
        <v>873</v>
      </c>
      <c r="D105" s="225" t="s">
        <v>608</v>
      </c>
      <c r="E105" s="120">
        <v>529.2</v>
      </c>
      <c r="F105" s="1" t="s">
        <v>613</v>
      </c>
    </row>
    <row r="106" spans="1:6" ht="14.25">
      <c r="A106" s="4">
        <v>34</v>
      </c>
      <c r="B106" s="2" t="s">
        <v>68</v>
      </c>
      <c r="C106" s="3" t="s">
        <v>873</v>
      </c>
      <c r="D106" s="225" t="s">
        <v>608</v>
      </c>
      <c r="E106" s="120">
        <v>388.26</v>
      </c>
      <c r="F106" s="1" t="s">
        <v>613</v>
      </c>
    </row>
    <row r="107" spans="1:6" ht="14.25">
      <c r="A107" s="4">
        <v>35</v>
      </c>
      <c r="B107" s="533" t="s">
        <v>70</v>
      </c>
      <c r="C107" s="3" t="s">
        <v>872</v>
      </c>
      <c r="D107" s="225" t="s">
        <v>608</v>
      </c>
      <c r="E107" s="120">
        <v>172.05</v>
      </c>
      <c r="F107" s="1" t="s">
        <v>613</v>
      </c>
    </row>
    <row r="108" spans="1:6" ht="14.25">
      <c r="A108" s="4">
        <v>36</v>
      </c>
      <c r="B108" s="533"/>
      <c r="C108" s="3" t="s">
        <v>873</v>
      </c>
      <c r="D108" s="225" t="s">
        <v>608</v>
      </c>
      <c r="E108" s="120">
        <v>412.92</v>
      </c>
      <c r="F108" s="1" t="s">
        <v>613</v>
      </c>
    </row>
    <row r="109" spans="1:6" ht="14.25">
      <c r="A109" s="4">
        <v>38</v>
      </c>
      <c r="B109" s="2" t="s">
        <v>48</v>
      </c>
      <c r="C109" s="3" t="s">
        <v>873</v>
      </c>
      <c r="D109" s="225" t="s">
        <v>608</v>
      </c>
      <c r="E109" s="120">
        <v>417.24</v>
      </c>
      <c r="F109" s="1" t="s">
        <v>613</v>
      </c>
    </row>
    <row r="110" spans="1:6" ht="14.25">
      <c r="A110" s="4">
        <v>39</v>
      </c>
      <c r="B110" s="533" t="s">
        <v>34</v>
      </c>
      <c r="C110" s="3" t="s">
        <v>872</v>
      </c>
      <c r="D110" s="225" t="s">
        <v>608</v>
      </c>
      <c r="E110" s="120">
        <v>159.9</v>
      </c>
      <c r="F110" s="1" t="s">
        <v>613</v>
      </c>
    </row>
    <row r="111" spans="1:6" ht="14.25">
      <c r="A111" s="4">
        <v>40</v>
      </c>
      <c r="B111" s="533"/>
      <c r="C111" s="3" t="s">
        <v>873</v>
      </c>
      <c r="D111" s="225" t="s">
        <v>608</v>
      </c>
      <c r="E111" s="120">
        <v>383.76</v>
      </c>
      <c r="F111" s="1" t="s">
        <v>613</v>
      </c>
    </row>
    <row r="112" spans="1:6" ht="14.25">
      <c r="A112" s="4">
        <v>41</v>
      </c>
      <c r="B112" s="499" t="s">
        <v>74</v>
      </c>
      <c r="C112" s="6" t="s">
        <v>116</v>
      </c>
      <c r="D112" s="225" t="s">
        <v>608</v>
      </c>
      <c r="E112" s="122">
        <v>1700</v>
      </c>
      <c r="F112" s="1" t="s">
        <v>613</v>
      </c>
    </row>
    <row r="113" spans="1:6" ht="14.25">
      <c r="A113" s="4">
        <v>42</v>
      </c>
      <c r="B113" s="499"/>
      <c r="C113" s="3" t="s">
        <v>117</v>
      </c>
      <c r="D113" s="225" t="s">
        <v>608</v>
      </c>
      <c r="E113" s="122">
        <v>260</v>
      </c>
      <c r="F113" s="1" t="s">
        <v>613</v>
      </c>
    </row>
    <row r="114" spans="1:6" ht="15">
      <c r="A114" s="178"/>
      <c r="B114" s="497" t="s">
        <v>118</v>
      </c>
      <c r="C114" s="497"/>
      <c r="D114" s="498"/>
      <c r="E114" s="179">
        <f>SUM(E72:E113)</f>
        <v>60134.71785714285</v>
      </c>
      <c r="F114" s="201"/>
    </row>
    <row r="115" spans="1:6" ht="15">
      <c r="A115" s="178"/>
      <c r="B115" s="32"/>
      <c r="C115" s="32"/>
      <c r="D115" s="32"/>
      <c r="E115" s="353"/>
      <c r="F115" s="201"/>
    </row>
    <row r="116" spans="1:6" ht="15">
      <c r="A116" s="11"/>
      <c r="B116" s="243" t="s">
        <v>143</v>
      </c>
      <c r="C116" s="29"/>
      <c r="D116" s="55"/>
      <c r="E116" s="113"/>
      <c r="F116" s="10"/>
    </row>
    <row r="117" spans="1:6" ht="28.5">
      <c r="A117" s="12">
        <v>1</v>
      </c>
      <c r="B117" s="232" t="s">
        <v>25</v>
      </c>
      <c r="C117" s="244" t="s">
        <v>123</v>
      </c>
      <c r="D117" s="224" t="s">
        <v>56</v>
      </c>
      <c r="E117" s="115">
        <v>67.5675675675676</v>
      </c>
      <c r="F117" s="1" t="s">
        <v>612</v>
      </c>
    </row>
    <row r="118" spans="1:6" ht="28.5">
      <c r="A118" s="26">
        <v>2</v>
      </c>
      <c r="B118" s="33" t="s">
        <v>48</v>
      </c>
      <c r="C118" s="39" t="s">
        <v>124</v>
      </c>
      <c r="D118" s="245" t="s">
        <v>56</v>
      </c>
      <c r="E118" s="117">
        <v>13.5135135135135</v>
      </c>
      <c r="F118" s="9" t="s">
        <v>612</v>
      </c>
    </row>
    <row r="119" spans="1:6" ht="28.5">
      <c r="A119" s="12">
        <v>3</v>
      </c>
      <c r="B119" s="574" t="s">
        <v>17</v>
      </c>
      <c r="C119" s="3" t="s">
        <v>120</v>
      </c>
      <c r="D119" s="224" t="s">
        <v>56</v>
      </c>
      <c r="E119" s="115">
        <v>32.4324324324324</v>
      </c>
      <c r="F119" s="1" t="s">
        <v>612</v>
      </c>
    </row>
    <row r="120" spans="1:6" ht="28.5">
      <c r="A120" s="4">
        <v>4</v>
      </c>
      <c r="B120" s="575"/>
      <c r="C120" s="3" t="s">
        <v>121</v>
      </c>
      <c r="D120" s="224" t="s">
        <v>56</v>
      </c>
      <c r="E120" s="115">
        <v>18.9189189189189</v>
      </c>
      <c r="F120" s="1" t="s">
        <v>612</v>
      </c>
    </row>
    <row r="121" spans="1:6" ht="14.25">
      <c r="A121" s="4">
        <v>5</v>
      </c>
      <c r="B121" s="2" t="s">
        <v>40</v>
      </c>
      <c r="C121" s="3" t="s">
        <v>122</v>
      </c>
      <c r="D121" s="224" t="s">
        <v>605</v>
      </c>
      <c r="E121" s="115">
        <f>1000000/3500</f>
        <v>285.7142857142857</v>
      </c>
      <c r="F121" s="1" t="s">
        <v>612</v>
      </c>
    </row>
    <row r="122" spans="1:6" ht="28.5">
      <c r="A122" s="4">
        <v>6</v>
      </c>
      <c r="B122" s="232" t="s">
        <v>78</v>
      </c>
      <c r="C122" s="244" t="s">
        <v>119</v>
      </c>
      <c r="D122" s="224" t="s">
        <v>605</v>
      </c>
      <c r="E122" s="115"/>
      <c r="F122" s="1" t="s">
        <v>612</v>
      </c>
    </row>
    <row r="123" spans="1:6" ht="15">
      <c r="A123" s="183"/>
      <c r="B123" s="477" t="s">
        <v>144</v>
      </c>
      <c r="C123" s="477"/>
      <c r="D123" s="478"/>
      <c r="E123" s="184">
        <f>SUM(E117:E122)</f>
        <v>418.1467181467181</v>
      </c>
      <c r="F123" s="185"/>
    </row>
    <row r="124" spans="1:6" ht="14.25">
      <c r="A124" s="40"/>
      <c r="B124" s="193"/>
      <c r="C124" s="435"/>
      <c r="D124" s="40"/>
      <c r="E124" s="175"/>
      <c r="F124" s="168"/>
    </row>
    <row r="125" spans="1:6" ht="15">
      <c r="A125" s="197"/>
      <c r="B125" s="567" t="s">
        <v>878</v>
      </c>
      <c r="C125" s="567"/>
      <c r="D125" s="246"/>
      <c r="E125" s="196"/>
      <c r="F125" s="197"/>
    </row>
    <row r="126" spans="1:6" ht="28.5">
      <c r="A126" s="1">
        <v>1</v>
      </c>
      <c r="B126" s="3" t="s">
        <v>59</v>
      </c>
      <c r="C126" s="3" t="s">
        <v>166</v>
      </c>
      <c r="D126" s="224" t="s">
        <v>167</v>
      </c>
      <c r="E126" s="119">
        <v>108.1</v>
      </c>
      <c r="F126" s="1" t="s">
        <v>612</v>
      </c>
    </row>
    <row r="127" spans="1:6" ht="14.25">
      <c r="A127" s="16">
        <v>2</v>
      </c>
      <c r="B127" s="499" t="s">
        <v>21</v>
      </c>
      <c r="C127" s="3" t="s">
        <v>128</v>
      </c>
      <c r="D127" s="224" t="s">
        <v>129</v>
      </c>
      <c r="E127" s="119"/>
      <c r="F127" s="1" t="s">
        <v>612</v>
      </c>
    </row>
    <row r="128" spans="1:6" ht="14.25">
      <c r="A128" s="1">
        <v>3</v>
      </c>
      <c r="B128" s="499"/>
      <c r="C128" s="3" t="s">
        <v>130</v>
      </c>
      <c r="D128" s="224" t="s">
        <v>606</v>
      </c>
      <c r="E128" s="119">
        <v>16.76</v>
      </c>
      <c r="F128" s="1" t="s">
        <v>612</v>
      </c>
    </row>
    <row r="129" spans="1:6" ht="28.5">
      <c r="A129" s="1">
        <v>4</v>
      </c>
      <c r="B129" s="3" t="s">
        <v>62</v>
      </c>
      <c r="C129" s="3" t="s">
        <v>126</v>
      </c>
      <c r="D129" s="224" t="s">
        <v>127</v>
      </c>
      <c r="E129" s="119">
        <v>13.51</v>
      </c>
      <c r="F129" s="1" t="s">
        <v>612</v>
      </c>
    </row>
    <row r="130" spans="1:6" ht="28.5">
      <c r="A130" s="16">
        <v>5</v>
      </c>
      <c r="B130" s="3" t="s">
        <v>25</v>
      </c>
      <c r="C130" s="3" t="s">
        <v>131</v>
      </c>
      <c r="D130" s="224" t="s">
        <v>605</v>
      </c>
      <c r="E130" s="119"/>
      <c r="F130" s="1" t="s">
        <v>612</v>
      </c>
    </row>
    <row r="131" spans="1:6" ht="28.5">
      <c r="A131" s="16">
        <v>6</v>
      </c>
      <c r="B131" s="3" t="s">
        <v>17</v>
      </c>
      <c r="C131" s="3" t="s">
        <v>125</v>
      </c>
      <c r="D131" s="224" t="s">
        <v>605</v>
      </c>
      <c r="E131" s="119"/>
      <c r="F131" s="1" t="s">
        <v>612</v>
      </c>
    </row>
    <row r="132" spans="1:6" ht="14.25">
      <c r="A132" s="16">
        <v>7</v>
      </c>
      <c r="B132" s="3" t="s">
        <v>15</v>
      </c>
      <c r="C132" s="3" t="s">
        <v>168</v>
      </c>
      <c r="D132" s="224" t="s">
        <v>605</v>
      </c>
      <c r="E132" s="119">
        <f>200000/3500</f>
        <v>57.142857142857146</v>
      </c>
      <c r="F132" s="1" t="s">
        <v>612</v>
      </c>
    </row>
    <row r="133" spans="1:6" ht="14.25">
      <c r="A133" s="1">
        <v>8</v>
      </c>
      <c r="B133" s="3" t="s">
        <v>27</v>
      </c>
      <c r="C133" s="3" t="s">
        <v>169</v>
      </c>
      <c r="D133" s="224" t="s">
        <v>605</v>
      </c>
      <c r="E133" s="119">
        <v>10.81</v>
      </c>
      <c r="F133" s="1" t="s">
        <v>612</v>
      </c>
    </row>
    <row r="134" spans="1:6" ht="28.5">
      <c r="A134" s="41">
        <v>9</v>
      </c>
      <c r="B134" s="30" t="s">
        <v>46</v>
      </c>
      <c r="C134" s="39" t="s">
        <v>170</v>
      </c>
      <c r="D134" s="247" t="s">
        <v>605</v>
      </c>
      <c r="E134" s="117">
        <f>80000/3500</f>
        <v>22.857142857142858</v>
      </c>
      <c r="F134" s="9" t="s">
        <v>612</v>
      </c>
    </row>
    <row r="135" spans="1:6" ht="15">
      <c r="A135" s="178"/>
      <c r="B135" s="5"/>
      <c r="C135" s="309" t="s">
        <v>886</v>
      </c>
      <c r="D135" s="368"/>
      <c r="E135" s="118">
        <f>SUM(E126:E134)</f>
        <v>229.18</v>
      </c>
      <c r="F135" s="201"/>
    </row>
    <row r="136" spans="1:6" ht="15">
      <c r="A136" s="155"/>
      <c r="B136" s="527"/>
      <c r="C136" s="309"/>
      <c r="D136" s="368"/>
      <c r="E136" s="186"/>
      <c r="F136" s="168"/>
    </row>
    <row r="137" spans="1:6" ht="15">
      <c r="A137" s="11"/>
      <c r="B137" s="561" t="s">
        <v>155</v>
      </c>
      <c r="C137" s="561"/>
      <c r="D137" s="55"/>
      <c r="E137" s="113"/>
      <c r="F137" s="10"/>
    </row>
    <row r="138" spans="1:6" ht="14.25">
      <c r="A138" s="49">
        <v>1</v>
      </c>
      <c r="B138" s="208" t="s">
        <v>64</v>
      </c>
      <c r="C138" s="48" t="s">
        <v>210</v>
      </c>
      <c r="D138" s="273" t="s">
        <v>56</v>
      </c>
      <c r="E138" s="181">
        <v>93.06</v>
      </c>
      <c r="F138" s="41" t="s">
        <v>612</v>
      </c>
    </row>
    <row r="139" spans="1:6" ht="15">
      <c r="A139" s="4"/>
      <c r="B139" s="496" t="s">
        <v>156</v>
      </c>
      <c r="C139" s="497"/>
      <c r="D139" s="498"/>
      <c r="E139" s="118">
        <v>93.06</v>
      </c>
      <c r="F139" s="201"/>
    </row>
    <row r="140" spans="1:6" ht="14.25">
      <c r="A140" s="155"/>
      <c r="B140" s="248"/>
      <c r="C140" s="435"/>
      <c r="D140" s="40"/>
      <c r="E140" s="175"/>
      <c r="F140" s="168"/>
    </row>
    <row r="141" spans="1:6" ht="15">
      <c r="A141" s="150"/>
      <c r="B141" s="249" t="s">
        <v>887</v>
      </c>
      <c r="C141" s="176"/>
      <c r="D141" s="231"/>
      <c r="E141" s="177"/>
      <c r="F141" s="147"/>
    </row>
    <row r="142" spans="1:6" ht="14.25">
      <c r="A142" s="82">
        <v>1</v>
      </c>
      <c r="B142" s="253" t="s">
        <v>46</v>
      </c>
      <c r="C142" s="254" t="s">
        <v>180</v>
      </c>
      <c r="D142" s="255" t="s">
        <v>129</v>
      </c>
      <c r="E142" s="137">
        <f>300000/3500</f>
        <v>85.71428571428571</v>
      </c>
      <c r="F142" s="9" t="s">
        <v>612</v>
      </c>
    </row>
    <row r="143" spans="1:6" ht="14.25">
      <c r="A143" s="189">
        <v>2</v>
      </c>
      <c r="B143" s="7" t="s">
        <v>21</v>
      </c>
      <c r="C143" s="7" t="s">
        <v>175</v>
      </c>
      <c r="D143" s="252" t="s">
        <v>56</v>
      </c>
      <c r="E143" s="190">
        <v>20</v>
      </c>
      <c r="F143" s="1" t="s">
        <v>612</v>
      </c>
    </row>
    <row r="144" spans="1:6" ht="14.25">
      <c r="A144" s="82">
        <v>3</v>
      </c>
      <c r="B144" s="574" t="s">
        <v>59</v>
      </c>
      <c r="C144" s="8" t="s">
        <v>178</v>
      </c>
      <c r="D144" s="252" t="s">
        <v>56</v>
      </c>
      <c r="E144" s="190">
        <v>60</v>
      </c>
      <c r="F144" s="1" t="s">
        <v>612</v>
      </c>
    </row>
    <row r="145" spans="1:6" ht="42.75">
      <c r="A145" s="189">
        <v>4</v>
      </c>
      <c r="B145" s="575"/>
      <c r="C145" s="8" t="s">
        <v>179</v>
      </c>
      <c r="D145" s="252" t="s">
        <v>605</v>
      </c>
      <c r="E145" s="190"/>
      <c r="F145" s="1" t="s">
        <v>612</v>
      </c>
    </row>
    <row r="146" spans="1:6" ht="14.25">
      <c r="A146" s="82">
        <v>5</v>
      </c>
      <c r="B146" s="250" t="s">
        <v>15</v>
      </c>
      <c r="C146" s="250" t="s">
        <v>172</v>
      </c>
      <c r="D146" s="251" t="s">
        <v>605</v>
      </c>
      <c r="E146" s="188">
        <f>30000/3500</f>
        <v>8.571428571428571</v>
      </c>
      <c r="F146" s="16" t="s">
        <v>612</v>
      </c>
    </row>
    <row r="147" spans="1:6" ht="14.25">
      <c r="A147" s="189">
        <v>6</v>
      </c>
      <c r="B147" s="7" t="s">
        <v>78</v>
      </c>
      <c r="C147" s="7" t="s">
        <v>173</v>
      </c>
      <c r="D147" s="252" t="s">
        <v>605</v>
      </c>
      <c r="E147" s="190">
        <f>40000/3500</f>
        <v>11.428571428571429</v>
      </c>
      <c r="F147" s="1" t="s">
        <v>612</v>
      </c>
    </row>
    <row r="148" spans="1:6" ht="14.25">
      <c r="A148" s="82">
        <v>7</v>
      </c>
      <c r="B148" s="7" t="s">
        <v>17</v>
      </c>
      <c r="C148" s="7" t="s">
        <v>174</v>
      </c>
      <c r="D148" s="252" t="s">
        <v>605</v>
      </c>
      <c r="E148" s="190">
        <f>1000000/3500</f>
        <v>285.7142857142857</v>
      </c>
      <c r="F148" s="1" t="s">
        <v>612</v>
      </c>
    </row>
    <row r="149" spans="1:6" ht="14.25">
      <c r="A149" s="189">
        <v>8</v>
      </c>
      <c r="B149" s="7" t="s">
        <v>64</v>
      </c>
      <c r="C149" s="7" t="s">
        <v>176</v>
      </c>
      <c r="D149" s="252" t="s">
        <v>605</v>
      </c>
      <c r="E149" s="190"/>
      <c r="F149" s="1" t="s">
        <v>612</v>
      </c>
    </row>
    <row r="150" spans="1:6" ht="14.25">
      <c r="A150" s="82">
        <v>9</v>
      </c>
      <c r="B150" s="7" t="s">
        <v>25</v>
      </c>
      <c r="C150" s="7" t="s">
        <v>177</v>
      </c>
      <c r="D150" s="252" t="s">
        <v>605</v>
      </c>
      <c r="E150" s="190"/>
      <c r="F150" s="1" t="s">
        <v>612</v>
      </c>
    </row>
    <row r="151" spans="1:6" ht="15">
      <c r="A151" s="192"/>
      <c r="B151" s="450" t="s">
        <v>902</v>
      </c>
      <c r="C151" s="450"/>
      <c r="D151" s="451"/>
      <c r="E151" s="144">
        <f>SUM(E142:E150)</f>
        <v>471.42857142857144</v>
      </c>
      <c r="F151" s="201"/>
    </row>
    <row r="152" spans="1:6" ht="15">
      <c r="A152" s="474"/>
      <c r="B152" s="515"/>
      <c r="C152" s="515"/>
      <c r="D152" s="515"/>
      <c r="E152" s="510"/>
      <c r="F152" s="473"/>
    </row>
    <row r="153" spans="1:6" ht="15">
      <c r="A153" s="151"/>
      <c r="B153" s="534" t="s">
        <v>145</v>
      </c>
      <c r="C153" s="534"/>
      <c r="D153" s="231"/>
      <c r="E153" s="177"/>
      <c r="F153" s="147"/>
    </row>
    <row r="154" spans="1:6" ht="28.5">
      <c r="A154" s="41">
        <v>1</v>
      </c>
      <c r="B154" s="3" t="s">
        <v>59</v>
      </c>
      <c r="C154" s="3" t="s">
        <v>181</v>
      </c>
      <c r="D154" s="270" t="s">
        <v>605</v>
      </c>
      <c r="E154" s="257">
        <v>17.57</v>
      </c>
      <c r="F154" s="41" t="s">
        <v>612</v>
      </c>
    </row>
    <row r="155" spans="1:6" ht="15">
      <c r="A155" s="192"/>
      <c r="B155" s="452" t="s">
        <v>146</v>
      </c>
      <c r="C155" s="452"/>
      <c r="D155" s="398"/>
      <c r="E155" s="144">
        <f>SUM(E154)</f>
        <v>17.57</v>
      </c>
      <c r="F155" s="201"/>
    </row>
    <row r="156" spans="1:6" ht="15">
      <c r="A156" s="192"/>
      <c r="B156" s="461"/>
      <c r="C156" s="461"/>
      <c r="D156" s="398"/>
      <c r="E156" s="217"/>
      <c r="F156" s="201"/>
    </row>
    <row r="157" spans="1:6" ht="15">
      <c r="A157" s="195"/>
      <c r="B157" s="479" t="s">
        <v>149</v>
      </c>
      <c r="C157" s="480"/>
      <c r="D157" s="246"/>
      <c r="E157" s="196"/>
      <c r="F157" s="197"/>
    </row>
    <row r="158" spans="1:6" ht="28.5">
      <c r="A158" s="92">
        <v>1</v>
      </c>
      <c r="B158" s="100" t="s">
        <v>25</v>
      </c>
      <c r="C158" s="275" t="s">
        <v>220</v>
      </c>
      <c r="D158" s="224" t="s">
        <v>606</v>
      </c>
      <c r="E158" s="119">
        <f>200000/3500</f>
        <v>57.142857142857146</v>
      </c>
      <c r="F158" s="1" t="s">
        <v>784</v>
      </c>
    </row>
    <row r="159" spans="1:6" ht="14.25">
      <c r="A159" s="92">
        <v>2</v>
      </c>
      <c r="B159" s="490" t="s">
        <v>216</v>
      </c>
      <c r="C159" s="100" t="s">
        <v>217</v>
      </c>
      <c r="D159" s="224" t="s">
        <v>606</v>
      </c>
      <c r="E159" s="119">
        <v>32.22</v>
      </c>
      <c r="F159" s="1" t="s">
        <v>784</v>
      </c>
    </row>
    <row r="160" spans="1:6" ht="14.25">
      <c r="A160" s="92">
        <v>3</v>
      </c>
      <c r="B160" s="490"/>
      <c r="C160" s="100" t="s">
        <v>218</v>
      </c>
      <c r="D160" s="224" t="s">
        <v>606</v>
      </c>
      <c r="E160" s="119">
        <v>565.813</v>
      </c>
      <c r="F160" s="1" t="s">
        <v>784</v>
      </c>
    </row>
    <row r="161" spans="1:6" ht="28.5">
      <c r="A161" s="92">
        <v>4</v>
      </c>
      <c r="B161" s="490" t="s">
        <v>222</v>
      </c>
      <c r="C161" s="100" t="s">
        <v>224</v>
      </c>
      <c r="D161" s="224" t="s">
        <v>225</v>
      </c>
      <c r="E161" s="119">
        <v>40.54054054054054</v>
      </c>
      <c r="F161" s="1" t="s">
        <v>784</v>
      </c>
    </row>
    <row r="162" spans="1:6" ht="14.25">
      <c r="A162" s="92">
        <v>5</v>
      </c>
      <c r="B162" s="490"/>
      <c r="C162" s="100" t="s">
        <v>223</v>
      </c>
      <c r="D162" s="224" t="s">
        <v>605</v>
      </c>
      <c r="E162" s="119">
        <v>81.08108108108108</v>
      </c>
      <c r="F162" s="1" t="s">
        <v>784</v>
      </c>
    </row>
    <row r="163" spans="1:6" ht="14.25">
      <c r="A163" s="92">
        <v>6</v>
      </c>
      <c r="B163" s="100" t="s">
        <v>40</v>
      </c>
      <c r="C163" s="100" t="s">
        <v>219</v>
      </c>
      <c r="D163" s="224" t="s">
        <v>605</v>
      </c>
      <c r="E163" s="119">
        <f>100000/3500</f>
        <v>28.571428571428573</v>
      </c>
      <c r="F163" s="1" t="s">
        <v>784</v>
      </c>
    </row>
    <row r="164" spans="1:6" ht="14.25">
      <c r="A164" s="92">
        <v>7</v>
      </c>
      <c r="B164" s="160" t="s">
        <v>43</v>
      </c>
      <c r="C164" s="3" t="s">
        <v>221</v>
      </c>
      <c r="D164" s="225" t="s">
        <v>605</v>
      </c>
      <c r="E164" s="115">
        <f>15000/3500</f>
        <v>4.285714285714286</v>
      </c>
      <c r="F164" s="1" t="s">
        <v>784</v>
      </c>
    </row>
    <row r="165" spans="1:6" ht="28.5">
      <c r="A165" s="92">
        <v>8</v>
      </c>
      <c r="B165" s="100" t="s">
        <v>17</v>
      </c>
      <c r="C165" s="274" t="s">
        <v>9</v>
      </c>
      <c r="D165" s="224" t="s">
        <v>605</v>
      </c>
      <c r="E165" s="119"/>
      <c r="F165" s="1" t="s">
        <v>784</v>
      </c>
    </row>
    <row r="166" spans="1:6" ht="15">
      <c r="A166" s="36"/>
      <c r="B166" s="547" t="s">
        <v>150</v>
      </c>
      <c r="C166" s="548"/>
      <c r="D166" s="549"/>
      <c r="E166" s="260">
        <f>SUM(E158:E165)</f>
        <v>809.6546216216216</v>
      </c>
      <c r="F166" s="185"/>
    </row>
    <row r="167" spans="1:6" ht="15">
      <c r="A167" s="192"/>
      <c r="B167" s="461"/>
      <c r="C167" s="461"/>
      <c r="D167" s="519"/>
      <c r="E167" s="217"/>
      <c r="F167" s="201"/>
    </row>
    <row r="168" spans="1:6" ht="15">
      <c r="A168" s="44"/>
      <c r="B168" s="573" t="s">
        <v>691</v>
      </c>
      <c r="C168" s="573"/>
      <c r="D168" s="55"/>
      <c r="E168" s="113"/>
      <c r="F168" s="10"/>
    </row>
    <row r="169" spans="1:6" ht="42.75">
      <c r="A169" s="16">
        <v>1</v>
      </c>
      <c r="B169" s="261" t="s">
        <v>182</v>
      </c>
      <c r="C169" s="262" t="s">
        <v>183</v>
      </c>
      <c r="D169" s="241" t="s">
        <v>56</v>
      </c>
      <c r="E169" s="114">
        <f>853767/3500</f>
        <v>243.93342857142858</v>
      </c>
      <c r="F169" s="16" t="s">
        <v>611</v>
      </c>
    </row>
    <row r="170" spans="1:6" ht="42.75">
      <c r="A170" s="92">
        <v>2</v>
      </c>
      <c r="B170" s="263" t="s">
        <v>184</v>
      </c>
      <c r="C170" s="2" t="s">
        <v>185</v>
      </c>
      <c r="D170" s="224" t="s">
        <v>56</v>
      </c>
      <c r="E170" s="120">
        <f>480000/3500</f>
        <v>137.14285714285714</v>
      </c>
      <c r="F170" s="1" t="s">
        <v>611</v>
      </c>
    </row>
    <row r="171" spans="1:6" ht="42.75">
      <c r="A171" s="1">
        <v>3</v>
      </c>
      <c r="B171" s="263" t="s">
        <v>184</v>
      </c>
      <c r="C171" s="2" t="s">
        <v>186</v>
      </c>
      <c r="D171" s="224" t="s">
        <v>56</v>
      </c>
      <c r="E171" s="122">
        <f>252488.25/3500</f>
        <v>72.1395</v>
      </c>
      <c r="F171" s="1" t="s">
        <v>611</v>
      </c>
    </row>
    <row r="172" spans="1:6" ht="42.75">
      <c r="A172" s="92">
        <v>4</v>
      </c>
      <c r="B172" s="263" t="s">
        <v>184</v>
      </c>
      <c r="C172" s="2" t="s">
        <v>187</v>
      </c>
      <c r="D172" s="224" t="s">
        <v>605</v>
      </c>
      <c r="E172" s="120"/>
      <c r="F172" s="1" t="s">
        <v>611</v>
      </c>
    </row>
    <row r="173" spans="1:6" ht="42.75">
      <c r="A173" s="1">
        <v>5</v>
      </c>
      <c r="B173" s="263" t="s">
        <v>184</v>
      </c>
      <c r="C173" s="2" t="s">
        <v>188</v>
      </c>
      <c r="D173" s="224" t="s">
        <v>605</v>
      </c>
      <c r="E173" s="131"/>
      <c r="F173" s="1" t="s">
        <v>611</v>
      </c>
    </row>
    <row r="174" spans="1:6" ht="14.25">
      <c r="A174" s="16"/>
      <c r="B174" s="522" t="s">
        <v>27</v>
      </c>
      <c r="C174" s="17" t="s">
        <v>226</v>
      </c>
      <c r="D174" s="224" t="s">
        <v>227</v>
      </c>
      <c r="E174" s="216"/>
      <c r="F174" s="1" t="s">
        <v>611</v>
      </c>
    </row>
    <row r="175" spans="1:6" ht="28.5">
      <c r="A175" s="16">
        <v>6</v>
      </c>
      <c r="B175" s="530" t="s">
        <v>48</v>
      </c>
      <c r="C175" s="264" t="s">
        <v>189</v>
      </c>
      <c r="D175" s="396" t="s">
        <v>605</v>
      </c>
      <c r="E175" s="136">
        <f>50000/3500</f>
        <v>14.285714285714286</v>
      </c>
      <c r="F175" s="1" t="s">
        <v>612</v>
      </c>
    </row>
    <row r="176" spans="1:6" ht="14.25">
      <c r="A176" s="94">
        <v>7</v>
      </c>
      <c r="B176" s="531"/>
      <c r="C176" s="436" t="s">
        <v>190</v>
      </c>
      <c r="D176" s="397" t="s">
        <v>605</v>
      </c>
      <c r="E176" s="137">
        <f>300000/3500</f>
        <v>85.71428571428571</v>
      </c>
      <c r="F176" s="9" t="s">
        <v>611</v>
      </c>
    </row>
    <row r="177" spans="1:6" ht="15">
      <c r="A177" s="204"/>
      <c r="B177" s="548" t="s">
        <v>703</v>
      </c>
      <c r="C177" s="548"/>
      <c r="D177" s="549"/>
      <c r="E177" s="303">
        <f>SUM(E169:E176)</f>
        <v>553.2157857142857</v>
      </c>
      <c r="F177" s="201"/>
    </row>
    <row r="178" spans="1:6" ht="15">
      <c r="A178" s="516"/>
      <c r="B178" s="509"/>
      <c r="C178" s="509"/>
      <c r="D178" s="509"/>
      <c r="E178" s="305"/>
      <c r="F178" s="473"/>
    </row>
    <row r="179" spans="1:6" ht="15">
      <c r="A179" s="151"/>
      <c r="B179" s="534" t="s">
        <v>935</v>
      </c>
      <c r="C179" s="534"/>
      <c r="D179" s="231"/>
      <c r="E179" s="177"/>
      <c r="F179" s="147"/>
    </row>
    <row r="180" spans="1:6" ht="14.25">
      <c r="A180" s="1">
        <v>1</v>
      </c>
      <c r="B180" s="39" t="s">
        <v>46</v>
      </c>
      <c r="C180" s="253" t="s">
        <v>191</v>
      </c>
      <c r="D180" s="245" t="s">
        <v>606</v>
      </c>
      <c r="E180" s="123">
        <v>243.24324324324326</v>
      </c>
      <c r="F180" s="9" t="s">
        <v>613</v>
      </c>
    </row>
    <row r="181" spans="1:6" ht="15">
      <c r="A181" s="265"/>
      <c r="B181" s="47"/>
      <c r="C181" s="358" t="s">
        <v>938</v>
      </c>
      <c r="D181" s="267"/>
      <c r="E181" s="144">
        <f>SUM(E180)</f>
        <v>243.24324324324326</v>
      </c>
      <c r="F181" s="10"/>
    </row>
    <row r="183" spans="1:6" ht="15">
      <c r="A183" s="11"/>
      <c r="B183" s="47" t="s">
        <v>192</v>
      </c>
      <c r="C183" s="29"/>
      <c r="D183" s="55"/>
      <c r="E183" s="113"/>
      <c r="F183" s="10"/>
    </row>
    <row r="184" spans="1:6" ht="14.25">
      <c r="A184" s="189">
        <v>1</v>
      </c>
      <c r="B184" s="7" t="s">
        <v>197</v>
      </c>
      <c r="C184" s="7" t="s">
        <v>198</v>
      </c>
      <c r="D184" s="252" t="s">
        <v>606</v>
      </c>
      <c r="E184" s="190"/>
      <c r="F184" s="1" t="s">
        <v>612</v>
      </c>
    </row>
    <row r="185" spans="1:6" ht="14.25">
      <c r="A185" s="189">
        <v>2</v>
      </c>
      <c r="B185" s="7" t="s">
        <v>21</v>
      </c>
      <c r="C185" s="7" t="s">
        <v>194</v>
      </c>
      <c r="D185" s="252" t="s">
        <v>195</v>
      </c>
      <c r="E185" s="190"/>
      <c r="F185" s="1" t="s">
        <v>784</v>
      </c>
    </row>
    <row r="186" spans="1:6" ht="14.25">
      <c r="A186" s="189">
        <v>3</v>
      </c>
      <c r="B186" s="7" t="s">
        <v>64</v>
      </c>
      <c r="C186" s="7" t="s">
        <v>196</v>
      </c>
      <c r="D186" s="252" t="s">
        <v>605</v>
      </c>
      <c r="E186" s="190"/>
      <c r="F186" s="1" t="s">
        <v>612</v>
      </c>
    </row>
    <row r="187" spans="1:6" ht="14.25">
      <c r="A187" s="187">
        <v>4</v>
      </c>
      <c r="B187" s="250" t="s">
        <v>17</v>
      </c>
      <c r="C187" s="250" t="s">
        <v>193</v>
      </c>
      <c r="D187" s="251" t="s">
        <v>605</v>
      </c>
      <c r="E187" s="188">
        <f>50000/3500</f>
        <v>14.285714285714286</v>
      </c>
      <c r="F187" s="16" t="s">
        <v>612</v>
      </c>
    </row>
    <row r="188" spans="1:6" ht="15">
      <c r="A188" s="14"/>
      <c r="B188" s="268"/>
      <c r="C188" s="228" t="s">
        <v>199</v>
      </c>
      <c r="D188" s="398"/>
      <c r="E188" s="144">
        <f>SUM(E184:E187)</f>
        <v>14.285714285714286</v>
      </c>
      <c r="F188" s="201"/>
    </row>
    <row r="189" spans="1:6" ht="15">
      <c r="A189" s="192"/>
      <c r="B189" s="268"/>
      <c r="C189" s="228"/>
      <c r="D189" s="398"/>
      <c r="E189" s="144"/>
      <c r="F189" s="201"/>
    </row>
    <row r="190" spans="1:6" ht="15">
      <c r="A190" s="44"/>
      <c r="B190" s="47" t="s">
        <v>200</v>
      </c>
      <c r="C190" s="206"/>
      <c r="D190" s="222"/>
      <c r="E190" s="207"/>
      <c r="F190" s="108"/>
    </row>
    <row r="191" spans="1:6" ht="14.25">
      <c r="A191" s="41">
        <v>1</v>
      </c>
      <c r="B191" s="48" t="s">
        <v>64</v>
      </c>
      <c r="C191" s="48" t="s">
        <v>201</v>
      </c>
      <c r="D191" s="270" t="s">
        <v>605</v>
      </c>
      <c r="E191" s="134">
        <f>400000/3500</f>
        <v>114.28571428571429</v>
      </c>
      <c r="F191" s="41" t="s">
        <v>950</v>
      </c>
    </row>
    <row r="192" spans="1:6" ht="15">
      <c r="A192" s="20"/>
      <c r="B192" s="268"/>
      <c r="C192" s="358" t="s">
        <v>202</v>
      </c>
      <c r="D192" s="398"/>
      <c r="E192" s="144">
        <f>SUM(E191:E191)</f>
        <v>114.28571428571429</v>
      </c>
      <c r="F192" s="201"/>
    </row>
    <row r="193" spans="1:6" ht="15">
      <c r="A193" s="516"/>
      <c r="B193" s="517"/>
      <c r="C193" s="518"/>
      <c r="D193" s="519"/>
      <c r="E193" s="510"/>
      <c r="F193" s="473"/>
    </row>
    <row r="194" spans="1:6" ht="14.25">
      <c r="A194" s="40"/>
      <c r="B194" s="193"/>
      <c r="C194" s="435"/>
      <c r="D194" s="40"/>
      <c r="E194" s="175"/>
      <c r="F194" s="168"/>
    </row>
    <row r="195" spans="1:6" ht="15">
      <c r="A195" s="151"/>
      <c r="B195" s="534" t="s">
        <v>955</v>
      </c>
      <c r="C195" s="534"/>
      <c r="D195" s="231"/>
      <c r="E195" s="177"/>
      <c r="F195" s="147"/>
    </row>
    <row r="196" spans="1:6" ht="28.5">
      <c r="A196" s="4">
        <v>1</v>
      </c>
      <c r="B196" s="160" t="s">
        <v>214</v>
      </c>
      <c r="C196" s="17" t="s">
        <v>215</v>
      </c>
      <c r="D196" s="399" t="s">
        <v>608</v>
      </c>
      <c r="E196" s="136">
        <f>50000/3500</f>
        <v>14.285714285714286</v>
      </c>
      <c r="F196" s="1" t="s">
        <v>612</v>
      </c>
    </row>
    <row r="197" spans="1:6" ht="15">
      <c r="A197" s="20"/>
      <c r="B197" s="547" t="s">
        <v>244</v>
      </c>
      <c r="C197" s="548"/>
      <c r="D197" s="549"/>
      <c r="E197" s="144">
        <f>SUM(E196:E196)</f>
        <v>14.285714285714286</v>
      </c>
      <c r="F197" s="201"/>
    </row>
    <row r="199" spans="1:6" ht="15">
      <c r="A199" s="44"/>
      <c r="B199" s="561" t="s">
        <v>245</v>
      </c>
      <c r="C199" s="561"/>
      <c r="D199" s="45"/>
      <c r="E199" s="113"/>
      <c r="F199" s="10"/>
    </row>
    <row r="200" spans="1:6" ht="28.5">
      <c r="A200" s="92">
        <v>1</v>
      </c>
      <c r="B200" s="500" t="s">
        <v>90</v>
      </c>
      <c r="C200" s="157" t="s">
        <v>10</v>
      </c>
      <c r="D200" s="224" t="s">
        <v>606</v>
      </c>
      <c r="E200" s="120">
        <v>570</v>
      </c>
      <c r="F200" s="1" t="s">
        <v>614</v>
      </c>
    </row>
    <row r="201" spans="1:6" ht="14.25">
      <c r="A201" s="27">
        <v>2</v>
      </c>
      <c r="B201" s="501"/>
      <c r="C201" s="43" t="s">
        <v>211</v>
      </c>
      <c r="D201" s="241" t="s">
        <v>606</v>
      </c>
      <c r="E201" s="125">
        <v>131.0810810810811</v>
      </c>
      <c r="F201" s="16" t="s">
        <v>614</v>
      </c>
    </row>
    <row r="202" spans="1:6" ht="14.25">
      <c r="A202" s="4">
        <v>3</v>
      </c>
      <c r="B202" s="501"/>
      <c r="C202" s="6" t="s">
        <v>212</v>
      </c>
      <c r="D202" s="224" t="s">
        <v>606</v>
      </c>
      <c r="E202" s="115">
        <v>62.16216216216216</v>
      </c>
      <c r="F202" s="1" t="s">
        <v>614</v>
      </c>
    </row>
    <row r="203" spans="1:6" ht="14.25">
      <c r="A203" s="26">
        <v>4</v>
      </c>
      <c r="B203" s="501"/>
      <c r="C203" s="85" t="s">
        <v>213</v>
      </c>
      <c r="D203" s="245" t="s">
        <v>606</v>
      </c>
      <c r="E203" s="117">
        <v>50.8108108108108</v>
      </c>
      <c r="F203" s="9" t="s">
        <v>614</v>
      </c>
    </row>
    <row r="204" spans="1:6" ht="14.25">
      <c r="A204" s="26">
        <v>5</v>
      </c>
      <c r="B204" s="501"/>
      <c r="C204" s="85" t="s">
        <v>5</v>
      </c>
      <c r="D204" s="399" t="s">
        <v>608</v>
      </c>
      <c r="E204" s="117"/>
      <c r="F204" s="9" t="s">
        <v>614</v>
      </c>
    </row>
    <row r="205" spans="1:6" ht="28.5">
      <c r="A205" s="26">
        <v>6</v>
      </c>
      <c r="B205" s="502"/>
      <c r="C205" s="85" t="s">
        <v>11</v>
      </c>
      <c r="D205" s="225" t="s">
        <v>608</v>
      </c>
      <c r="E205" s="117">
        <v>5000</v>
      </c>
      <c r="F205" s="9" t="s">
        <v>614</v>
      </c>
    </row>
    <row r="206" spans="1:6" ht="15">
      <c r="A206" s="20"/>
      <c r="B206" s="193"/>
      <c r="C206" s="414" t="s">
        <v>246</v>
      </c>
      <c r="D206" s="40"/>
      <c r="E206" s="144">
        <f>SUM(E200:E205)</f>
        <v>5814.054054054054</v>
      </c>
      <c r="F206" s="201"/>
    </row>
    <row r="207" spans="1:6" ht="15.75" thickBot="1">
      <c r="A207" s="386"/>
      <c r="C207" s="438"/>
      <c r="E207" s="214"/>
      <c r="F207" s="215"/>
    </row>
    <row r="208" spans="1:6" ht="15.75" thickBot="1">
      <c r="A208" s="434">
        <f>A26+A68+A113+A122+A134+A150+A154+A176+A180+A187+A191+A35+A138+A196+A165+A205</f>
        <v>155</v>
      </c>
      <c r="B208" s="441"/>
      <c r="C208" s="442" t="s">
        <v>925</v>
      </c>
      <c r="D208" s="443"/>
      <c r="E208" s="432">
        <f>E27+E69+E114+E123+E135+E151+E155+E177+E181+E188+E192+E36+E139+E197+E166+E206</f>
        <v>108706.58554965247</v>
      </c>
      <c r="F208" s="444"/>
    </row>
    <row r="210" spans="3:5" ht="15">
      <c r="C210" s="439" t="s">
        <v>867</v>
      </c>
      <c r="E210" s="445">
        <f>SUM(E4:E16)+SUM(E39:E57)+SUM(E72:E84)+SUM(E117:E120)+SUM(E126:E129)+E142+E143+E144+SUM(E169:E171)+E180+E31+E30+E32+E34+E138+E158+E159+E160+E161+E200+E201+E202+E203</f>
        <v>64407.779854671826</v>
      </c>
    </row>
    <row r="211" spans="3:5" ht="15">
      <c r="C211" s="439"/>
      <c r="E211" s="445">
        <f>SUM(E208-E210)</f>
        <v>44298.80569498065</v>
      </c>
    </row>
  </sheetData>
  <mergeCells count="47">
    <mergeCell ref="B199:C199"/>
    <mergeCell ref="B195:C195"/>
    <mergeCell ref="B151:D151"/>
    <mergeCell ref="B153:C153"/>
    <mergeCell ref="B168:C168"/>
    <mergeCell ref="B175:B176"/>
    <mergeCell ref="B155:C155"/>
    <mergeCell ref="B102:B103"/>
    <mergeCell ref="B104:B105"/>
    <mergeCell ref="B107:B108"/>
    <mergeCell ref="B197:D197"/>
    <mergeCell ref="B177:D177"/>
    <mergeCell ref="B179:C179"/>
    <mergeCell ref="B166:D166"/>
    <mergeCell ref="B157:C157"/>
    <mergeCell ref="B144:B145"/>
    <mergeCell ref="B119:B120"/>
    <mergeCell ref="B29:C29"/>
    <mergeCell ref="B137:C137"/>
    <mergeCell ref="B123:D123"/>
    <mergeCell ref="B125:C125"/>
    <mergeCell ref="B90:B91"/>
    <mergeCell ref="B114:D114"/>
    <mergeCell ref="B80:B81"/>
    <mergeCell ref="B94:B95"/>
    <mergeCell ref="B97:B99"/>
    <mergeCell ref="B127:B128"/>
    <mergeCell ref="B200:B205"/>
    <mergeCell ref="B139:D139"/>
    <mergeCell ref="B38:C38"/>
    <mergeCell ref="B49:B51"/>
    <mergeCell ref="B63:B65"/>
    <mergeCell ref="B100:B101"/>
    <mergeCell ref="B39:B40"/>
    <mergeCell ref="B75:B76"/>
    <mergeCell ref="B85:B86"/>
    <mergeCell ref="B88:B89"/>
    <mergeCell ref="B69:D69"/>
    <mergeCell ref="B159:B160"/>
    <mergeCell ref="B161:B162"/>
    <mergeCell ref="B1:C1"/>
    <mergeCell ref="B27:D27"/>
    <mergeCell ref="B3:F3"/>
    <mergeCell ref="B8:B10"/>
    <mergeCell ref="B12:B13"/>
    <mergeCell ref="B110:B111"/>
    <mergeCell ref="B112:B113"/>
  </mergeCells>
  <printOptions horizontalCentered="1"/>
  <pageMargins left="0" right="0" top="1.1811023622047245" bottom="0.7874015748031497" header="0.35433070866141736" footer="0.1968503937007874"/>
  <pageSetup firstPageNumber="153" useFirstPageNumber="1" horizontalDpi="600" verticalDpi="600" orientation="landscape" paperSize="9" r:id="rId2"/>
  <headerFooter alignWithMargins="0">
    <oddFooter>&amp;LPartea a IV-a&amp;R&amp;P</oddFooter>
  </headerFooter>
  <rowBreaks count="10" manualBreakCount="10">
    <brk id="17" max="5" man="1"/>
    <brk id="36" max="5" man="1"/>
    <brk id="55" max="5" man="1"/>
    <brk id="69" max="5" man="1"/>
    <brk id="92" max="5" man="1"/>
    <brk id="114" max="5" man="1"/>
    <brk id="132" max="5" man="1"/>
    <brk id="155" max="5" man="1"/>
    <brk id="172" max="5" man="1"/>
    <brk id="19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Normal="60" zoomScaleSheetLayoutView="100" workbookViewId="0" topLeftCell="A65">
      <selection activeCell="A77" sqref="A77:F77"/>
    </sheetView>
  </sheetViews>
  <sheetFormatPr defaultColWidth="9.140625" defaultRowHeight="12.75"/>
  <cols>
    <col min="1" max="1" width="4.7109375" style="21" customWidth="1"/>
    <col min="2" max="2" width="22.00390625" style="22" customWidth="1"/>
    <col min="3" max="3" width="57.8515625" style="384" customWidth="1"/>
    <col min="4" max="4" width="14.421875" style="21" customWidth="1"/>
    <col min="5" max="5" width="12.8515625" style="111" customWidth="1"/>
    <col min="6" max="6" width="25.140625" style="24" customWidth="1"/>
  </cols>
  <sheetData>
    <row r="1" spans="2:4" ht="15">
      <c r="B1" s="567" t="s">
        <v>228</v>
      </c>
      <c r="C1" s="567"/>
      <c r="D1" s="25"/>
    </row>
    <row r="2" spans="1:6" ht="45">
      <c r="A2" s="108" t="s">
        <v>602</v>
      </c>
      <c r="B2" s="146" t="s">
        <v>603</v>
      </c>
      <c r="C2" s="13" t="s">
        <v>616</v>
      </c>
      <c r="D2" s="28" t="s">
        <v>604</v>
      </c>
      <c r="E2" s="112" t="s">
        <v>615</v>
      </c>
      <c r="F2" s="13" t="s">
        <v>617</v>
      </c>
    </row>
    <row r="3" spans="1:6" ht="15">
      <c r="A3" s="323"/>
      <c r="B3" s="545" t="s">
        <v>619</v>
      </c>
      <c r="C3" s="545"/>
      <c r="D3" s="278"/>
      <c r="E3" s="279"/>
      <c r="F3" s="280"/>
    </row>
    <row r="4" spans="1:6" ht="14.25">
      <c r="A4" s="1">
        <v>1</v>
      </c>
      <c r="B4" s="209" t="s">
        <v>229</v>
      </c>
      <c r="C4" s="43" t="s">
        <v>230</v>
      </c>
      <c r="D4" s="16" t="s">
        <v>606</v>
      </c>
      <c r="E4" s="125">
        <v>142.86</v>
      </c>
      <c r="F4" s="16" t="s">
        <v>612</v>
      </c>
    </row>
    <row r="5" spans="1:6" ht="14.25">
      <c r="A5" s="1">
        <v>2</v>
      </c>
      <c r="B5" s="235" t="s">
        <v>231</v>
      </c>
      <c r="C5" s="223" t="s">
        <v>232</v>
      </c>
      <c r="D5" s="1" t="s">
        <v>606</v>
      </c>
      <c r="E5" s="120">
        <f>2000000/3500</f>
        <v>571.4285714285714</v>
      </c>
      <c r="F5" s="1" t="s">
        <v>612</v>
      </c>
    </row>
    <row r="6" spans="1:6" ht="28.5">
      <c r="A6" s="1">
        <v>3</v>
      </c>
      <c r="B6" s="455" t="s">
        <v>233</v>
      </c>
      <c r="C6" s="3" t="s">
        <v>234</v>
      </c>
      <c r="D6" s="1" t="s">
        <v>606</v>
      </c>
      <c r="E6" s="115">
        <v>204.88216216216216</v>
      </c>
      <c r="F6" s="1" t="s">
        <v>612</v>
      </c>
    </row>
    <row r="7" spans="1:6" ht="14.25">
      <c r="A7" s="1">
        <v>4</v>
      </c>
      <c r="B7" s="455"/>
      <c r="C7" s="3" t="s">
        <v>235</v>
      </c>
      <c r="D7" s="1" t="s">
        <v>606</v>
      </c>
      <c r="E7" s="115">
        <v>69.32405405405406</v>
      </c>
      <c r="F7" s="1" t="s">
        <v>612</v>
      </c>
    </row>
    <row r="8" spans="1:6" ht="14.25">
      <c r="A8" s="1">
        <v>5</v>
      </c>
      <c r="B8" s="455" t="s">
        <v>236</v>
      </c>
      <c r="C8" s="3" t="s">
        <v>237</v>
      </c>
      <c r="D8" s="1" t="s">
        <v>606</v>
      </c>
      <c r="E8" s="120">
        <f>3157213/3500</f>
        <v>902.0608571428571</v>
      </c>
      <c r="F8" s="1" t="s">
        <v>612</v>
      </c>
    </row>
    <row r="9" spans="1:6" ht="14.25">
      <c r="A9" s="1">
        <v>6</v>
      </c>
      <c r="B9" s="581"/>
      <c r="C9" s="3" t="s">
        <v>238</v>
      </c>
      <c r="D9" s="1" t="s">
        <v>606</v>
      </c>
      <c r="E9" s="120">
        <f>1200000/3500</f>
        <v>342.85714285714283</v>
      </c>
      <c r="F9" s="1" t="s">
        <v>612</v>
      </c>
    </row>
    <row r="10" spans="1:6" ht="14.25">
      <c r="A10" s="1">
        <v>7</v>
      </c>
      <c r="B10" s="581"/>
      <c r="C10" s="3" t="s">
        <v>239</v>
      </c>
      <c r="D10" s="1" t="s">
        <v>606</v>
      </c>
      <c r="E10" s="115">
        <v>77.78918918918919</v>
      </c>
      <c r="F10" s="1" t="s">
        <v>612</v>
      </c>
    </row>
    <row r="11" spans="1:6" ht="14.25">
      <c r="A11" s="1">
        <v>8</v>
      </c>
      <c r="B11" s="582"/>
      <c r="C11" s="39" t="s">
        <v>240</v>
      </c>
      <c r="D11" s="9" t="s">
        <v>606</v>
      </c>
      <c r="E11" s="117">
        <v>82.97459459459459</v>
      </c>
      <c r="F11" s="9" t="s">
        <v>612</v>
      </c>
    </row>
    <row r="12" spans="1:6" ht="15">
      <c r="A12" s="4"/>
      <c r="B12" s="453" t="s">
        <v>646</v>
      </c>
      <c r="C12" s="453"/>
      <c r="D12" s="454"/>
      <c r="E12" s="173">
        <f>SUM(E4:E11)</f>
        <v>2394.176571428571</v>
      </c>
      <c r="F12" s="185"/>
    </row>
    <row r="13" spans="1:6" ht="15">
      <c r="A13" s="4"/>
      <c r="B13" s="230"/>
      <c r="C13" s="230"/>
      <c r="D13" s="230"/>
      <c r="E13" s="524"/>
      <c r="F13" s="525"/>
    </row>
    <row r="14" spans="1:6" ht="15">
      <c r="A14" s="294"/>
      <c r="B14" s="545" t="s">
        <v>151</v>
      </c>
      <c r="C14" s="545"/>
      <c r="D14" s="159"/>
      <c r="E14" s="279"/>
      <c r="F14" s="280"/>
    </row>
    <row r="15" spans="1:6" ht="14.25">
      <c r="A15" s="1">
        <v>1</v>
      </c>
      <c r="B15" s="574" t="s">
        <v>233</v>
      </c>
      <c r="C15" s="43" t="s">
        <v>298</v>
      </c>
      <c r="D15" s="16" t="s">
        <v>606</v>
      </c>
      <c r="E15" s="128">
        <v>71.58748648648648</v>
      </c>
      <c r="F15" s="16" t="s">
        <v>612</v>
      </c>
    </row>
    <row r="16" spans="1:6" ht="14.25">
      <c r="A16" s="1">
        <v>2</v>
      </c>
      <c r="B16" s="546"/>
      <c r="C16" s="6" t="s">
        <v>299</v>
      </c>
      <c r="D16" s="1" t="s">
        <v>606</v>
      </c>
      <c r="E16" s="119">
        <f>255913/3500</f>
        <v>73.118</v>
      </c>
      <c r="F16" s="1" t="s">
        <v>612</v>
      </c>
    </row>
    <row r="17" spans="1:6" ht="14.25">
      <c r="A17" s="1">
        <v>3</v>
      </c>
      <c r="B17" s="546"/>
      <c r="C17" s="6" t="s">
        <v>300</v>
      </c>
      <c r="D17" s="1" t="s">
        <v>606</v>
      </c>
      <c r="E17" s="119">
        <v>44.14767567567567</v>
      </c>
      <c r="F17" s="1" t="s">
        <v>612</v>
      </c>
    </row>
    <row r="18" spans="1:6" ht="14.25">
      <c r="A18" s="1">
        <v>4</v>
      </c>
      <c r="B18" s="575"/>
      <c r="C18" s="6" t="s">
        <v>301</v>
      </c>
      <c r="D18" s="1" t="s">
        <v>606</v>
      </c>
      <c r="E18" s="119">
        <v>31.900189189189188</v>
      </c>
      <c r="F18" s="1" t="s">
        <v>612</v>
      </c>
    </row>
    <row r="19" spans="1:6" ht="14.25">
      <c r="A19" s="1">
        <v>5</v>
      </c>
      <c r="B19" s="2" t="s">
        <v>236</v>
      </c>
      <c r="C19" s="3" t="s">
        <v>305</v>
      </c>
      <c r="D19" s="1" t="s">
        <v>818</v>
      </c>
      <c r="E19" s="119">
        <v>3.675675675675676</v>
      </c>
      <c r="F19" s="1" t="s">
        <v>612</v>
      </c>
    </row>
    <row r="20" spans="1:6" ht="15">
      <c r="A20" s="1"/>
      <c r="B20" s="547" t="s">
        <v>133</v>
      </c>
      <c r="C20" s="548"/>
      <c r="D20" s="549"/>
      <c r="E20" s="144">
        <f>SUM(E15:E19)</f>
        <v>224.42902702702702</v>
      </c>
      <c r="F20" s="201"/>
    </row>
    <row r="21" spans="1:6" ht="15">
      <c r="A21" s="1"/>
      <c r="B21" s="266"/>
      <c r="C21" s="266"/>
      <c r="D21" s="266"/>
      <c r="E21" s="217"/>
      <c r="F21" s="201"/>
    </row>
    <row r="22" spans="1:6" ht="15">
      <c r="A22" s="108"/>
      <c r="B22" s="545" t="s">
        <v>241</v>
      </c>
      <c r="C22" s="545"/>
      <c r="D22" s="29"/>
      <c r="E22" s="113"/>
      <c r="F22" s="10"/>
    </row>
    <row r="23" spans="1:6" ht="14.25">
      <c r="A23" s="4">
        <v>1</v>
      </c>
      <c r="B23" s="237" t="s">
        <v>236</v>
      </c>
      <c r="C23" s="18" t="s">
        <v>242</v>
      </c>
      <c r="D23" s="16" t="s">
        <v>606</v>
      </c>
      <c r="E23" s="128">
        <v>1000</v>
      </c>
      <c r="F23" s="16" t="s">
        <v>613</v>
      </c>
    </row>
    <row r="24" spans="1:6" ht="14.25">
      <c r="A24" s="4">
        <v>2</v>
      </c>
      <c r="B24" s="66" t="s">
        <v>243</v>
      </c>
      <c r="C24" s="6" t="s">
        <v>249</v>
      </c>
      <c r="D24" s="1" t="s">
        <v>606</v>
      </c>
      <c r="E24" s="119">
        <v>1000</v>
      </c>
      <c r="F24" s="1" t="s">
        <v>613</v>
      </c>
    </row>
    <row r="25" spans="1:6" ht="28.5">
      <c r="A25" s="4">
        <v>3</v>
      </c>
      <c r="B25" s="503" t="s">
        <v>250</v>
      </c>
      <c r="C25" s="3" t="s">
        <v>251</v>
      </c>
      <c r="D25" s="4" t="s">
        <v>252</v>
      </c>
      <c r="E25" s="122">
        <v>775</v>
      </c>
      <c r="F25" s="1" t="s">
        <v>614</v>
      </c>
    </row>
    <row r="26" spans="1:6" ht="28.5">
      <c r="A26" s="4">
        <v>4</v>
      </c>
      <c r="B26" s="504"/>
      <c r="C26" s="3" t="s">
        <v>253</v>
      </c>
      <c r="D26" s="4" t="s">
        <v>252</v>
      </c>
      <c r="E26" s="122">
        <v>1395</v>
      </c>
      <c r="F26" s="1" t="s">
        <v>614</v>
      </c>
    </row>
    <row r="27" spans="1:6" ht="28.5">
      <c r="A27" s="4">
        <v>5</v>
      </c>
      <c r="B27" s="505"/>
      <c r="C27" s="3" t="s">
        <v>254</v>
      </c>
      <c r="D27" s="4" t="s">
        <v>606</v>
      </c>
      <c r="E27" s="122">
        <v>1700</v>
      </c>
      <c r="F27" s="1" t="s">
        <v>614</v>
      </c>
    </row>
    <row r="28" spans="1:6" ht="28.5">
      <c r="A28" s="4">
        <v>6</v>
      </c>
      <c r="B28" s="235" t="s">
        <v>255</v>
      </c>
      <c r="C28" s="6" t="s">
        <v>256</v>
      </c>
      <c r="D28" s="26" t="s">
        <v>605</v>
      </c>
      <c r="E28" s="119">
        <v>2000</v>
      </c>
      <c r="F28" s="1" t="s">
        <v>613</v>
      </c>
    </row>
    <row r="29" spans="1:6" ht="14.25">
      <c r="A29" s="4">
        <v>7</v>
      </c>
      <c r="B29" s="583" t="s">
        <v>250</v>
      </c>
      <c r="C29" s="3" t="s">
        <v>257</v>
      </c>
      <c r="D29" s="26" t="s">
        <v>605</v>
      </c>
      <c r="E29" s="119">
        <v>2500</v>
      </c>
      <c r="F29" s="1" t="s">
        <v>614</v>
      </c>
    </row>
    <row r="30" spans="1:6" ht="14.25">
      <c r="A30" s="4">
        <v>8</v>
      </c>
      <c r="B30" s="584"/>
      <c r="C30" s="3" t="s">
        <v>258</v>
      </c>
      <c r="D30" s="26" t="s">
        <v>605</v>
      </c>
      <c r="E30" s="119">
        <v>2200</v>
      </c>
      <c r="F30" s="1" t="s">
        <v>614</v>
      </c>
    </row>
    <row r="31" spans="1:6" ht="14.25">
      <c r="A31" s="4">
        <v>9</v>
      </c>
      <c r="B31" s="584"/>
      <c r="C31" s="33" t="s">
        <v>259</v>
      </c>
      <c r="D31" s="26" t="s">
        <v>605</v>
      </c>
      <c r="E31" s="123">
        <v>3000</v>
      </c>
      <c r="F31" s="9" t="s">
        <v>614</v>
      </c>
    </row>
    <row r="32" spans="1:6" ht="15">
      <c r="A32" s="283"/>
      <c r="B32" s="497" t="s">
        <v>260</v>
      </c>
      <c r="C32" s="497"/>
      <c r="D32" s="497"/>
      <c r="E32" s="118">
        <f>SUM(E23:E31)</f>
        <v>15570</v>
      </c>
      <c r="F32" s="1"/>
    </row>
    <row r="33" spans="1:6" ht="14.25">
      <c r="A33" s="40"/>
      <c r="B33" s="54"/>
      <c r="C33" s="308"/>
      <c r="D33" s="40"/>
      <c r="E33" s="175"/>
      <c r="F33" s="168"/>
    </row>
    <row r="34" spans="1:6" ht="15">
      <c r="A34" s="11"/>
      <c r="B34" s="545" t="s">
        <v>261</v>
      </c>
      <c r="C34" s="545"/>
      <c r="D34" s="29"/>
      <c r="E34" s="113"/>
      <c r="F34" s="10"/>
    </row>
    <row r="35" spans="1:6" ht="14.25">
      <c r="A35" s="1">
        <v>1</v>
      </c>
      <c r="B35" s="18" t="s">
        <v>229</v>
      </c>
      <c r="C35" s="18" t="s">
        <v>262</v>
      </c>
      <c r="D35" s="16" t="s">
        <v>606</v>
      </c>
      <c r="E35" s="114">
        <v>1235</v>
      </c>
      <c r="F35" s="16" t="s">
        <v>613</v>
      </c>
    </row>
    <row r="36" spans="1:6" ht="14.25">
      <c r="A36" s="1">
        <v>2</v>
      </c>
      <c r="B36" s="2" t="s">
        <v>233</v>
      </c>
      <c r="C36" s="3" t="s">
        <v>263</v>
      </c>
      <c r="D36" s="1" t="s">
        <v>606</v>
      </c>
      <c r="E36" s="120">
        <v>930</v>
      </c>
      <c r="F36" s="1" t="s">
        <v>613</v>
      </c>
    </row>
    <row r="37" spans="1:6" ht="14.25">
      <c r="A37" s="1">
        <v>3</v>
      </c>
      <c r="B37" s="533" t="s">
        <v>250</v>
      </c>
      <c r="C37" s="3" t="s">
        <v>103</v>
      </c>
      <c r="D37" s="4" t="s">
        <v>264</v>
      </c>
      <c r="E37" s="122">
        <v>8600</v>
      </c>
      <c r="F37" s="1" t="s">
        <v>614</v>
      </c>
    </row>
    <row r="38" spans="1:6" ht="14.25">
      <c r="A38" s="1">
        <v>4</v>
      </c>
      <c r="B38" s="499"/>
      <c r="C38" s="3" t="s">
        <v>265</v>
      </c>
      <c r="D38" s="4" t="s">
        <v>606</v>
      </c>
      <c r="E38" s="122">
        <v>4000</v>
      </c>
      <c r="F38" s="1" t="s">
        <v>614</v>
      </c>
    </row>
    <row r="39" spans="1:6" ht="28.5">
      <c r="A39" s="1">
        <v>5</v>
      </c>
      <c r="B39" s="499"/>
      <c r="C39" s="3" t="s">
        <v>266</v>
      </c>
      <c r="D39" s="4" t="s">
        <v>606</v>
      </c>
      <c r="E39" s="122">
        <v>3880</v>
      </c>
      <c r="F39" s="1" t="s">
        <v>614</v>
      </c>
    </row>
    <row r="40" spans="1:6" ht="28.5">
      <c r="A40" s="1">
        <v>6</v>
      </c>
      <c r="B40" s="499"/>
      <c r="C40" s="3" t="s">
        <v>267</v>
      </c>
      <c r="D40" s="4" t="s">
        <v>606</v>
      </c>
      <c r="E40" s="122">
        <v>5517</v>
      </c>
      <c r="F40" s="1" t="s">
        <v>614</v>
      </c>
    </row>
    <row r="41" spans="1:6" ht="14.25">
      <c r="A41" s="1">
        <v>8</v>
      </c>
      <c r="B41" s="2" t="s">
        <v>233</v>
      </c>
      <c r="C41" s="3" t="s">
        <v>874</v>
      </c>
      <c r="D41" s="26" t="s">
        <v>605</v>
      </c>
      <c r="E41" s="120">
        <v>870.12</v>
      </c>
      <c r="F41" s="1" t="s">
        <v>613</v>
      </c>
    </row>
    <row r="42" spans="1:6" ht="42.75">
      <c r="A42" s="1">
        <v>9</v>
      </c>
      <c r="B42" s="533" t="s">
        <v>255</v>
      </c>
      <c r="C42" s="2" t="s">
        <v>272</v>
      </c>
      <c r="D42" s="26" t="s">
        <v>605</v>
      </c>
      <c r="E42" s="122">
        <v>1500</v>
      </c>
      <c r="F42" s="1" t="s">
        <v>613</v>
      </c>
    </row>
    <row r="43" spans="1:6" ht="14.25">
      <c r="A43" s="1">
        <v>10</v>
      </c>
      <c r="B43" s="533"/>
      <c r="C43" s="3" t="s">
        <v>873</v>
      </c>
      <c r="D43" s="26" t="s">
        <v>605</v>
      </c>
      <c r="E43" s="120">
        <v>446.04</v>
      </c>
      <c r="F43" s="1" t="s">
        <v>613</v>
      </c>
    </row>
    <row r="44" spans="1:6" ht="14.25">
      <c r="A44" s="1">
        <v>11</v>
      </c>
      <c r="B44" s="533" t="s">
        <v>236</v>
      </c>
      <c r="C44" s="3" t="s">
        <v>273</v>
      </c>
      <c r="D44" s="26" t="s">
        <v>605</v>
      </c>
      <c r="E44" s="122">
        <v>840</v>
      </c>
      <c r="F44" s="1" t="s">
        <v>613</v>
      </c>
    </row>
    <row r="45" spans="1:6" ht="14.25">
      <c r="A45" s="1">
        <v>12</v>
      </c>
      <c r="B45" s="533"/>
      <c r="C45" s="3" t="s">
        <v>873</v>
      </c>
      <c r="D45" s="26" t="s">
        <v>605</v>
      </c>
      <c r="E45" s="120">
        <v>367.38</v>
      </c>
      <c r="F45" s="1" t="s">
        <v>613</v>
      </c>
    </row>
    <row r="46" spans="1:6" ht="14.25">
      <c r="A46" s="1">
        <v>13</v>
      </c>
      <c r="B46" s="533" t="s">
        <v>243</v>
      </c>
      <c r="C46" s="3" t="s">
        <v>872</v>
      </c>
      <c r="D46" s="26" t="s">
        <v>605</v>
      </c>
      <c r="E46" s="120">
        <v>282.075</v>
      </c>
      <c r="F46" s="1" t="s">
        <v>613</v>
      </c>
    </row>
    <row r="47" spans="1:6" ht="14.25">
      <c r="A47" s="1">
        <v>14</v>
      </c>
      <c r="B47" s="533"/>
      <c r="C47" s="3" t="s">
        <v>873</v>
      </c>
      <c r="D47" s="26" t="s">
        <v>605</v>
      </c>
      <c r="E47" s="120">
        <v>676.98</v>
      </c>
      <c r="F47" s="1" t="s">
        <v>613</v>
      </c>
    </row>
    <row r="48" spans="1:6" ht="14.25">
      <c r="A48" s="1">
        <v>15</v>
      </c>
      <c r="B48" s="30" t="s">
        <v>250</v>
      </c>
      <c r="C48" s="39" t="s">
        <v>274</v>
      </c>
      <c r="D48" s="26" t="s">
        <v>605</v>
      </c>
      <c r="E48" s="281">
        <v>400</v>
      </c>
      <c r="F48" s="9" t="s">
        <v>614</v>
      </c>
    </row>
    <row r="49" spans="1:6" ht="15">
      <c r="A49" s="226"/>
      <c r="B49" s="588" t="s">
        <v>275</v>
      </c>
      <c r="C49" s="453"/>
      <c r="D49" s="454"/>
      <c r="E49" s="282">
        <f>SUM(E35:E48)</f>
        <v>29544.595</v>
      </c>
      <c r="F49" s="146"/>
    </row>
    <row r="50" spans="1:6" ht="14.25">
      <c r="A50" s="40"/>
      <c r="B50" s="54"/>
      <c r="C50" s="308"/>
      <c r="D50" s="40"/>
      <c r="E50" s="175"/>
      <c r="F50" s="168"/>
    </row>
    <row r="51" spans="1:6" ht="15">
      <c r="A51" s="283"/>
      <c r="B51" s="31" t="s">
        <v>276</v>
      </c>
      <c r="C51" s="309"/>
      <c r="D51" s="174"/>
      <c r="E51" s="186"/>
      <c r="F51" s="201"/>
    </row>
    <row r="52" spans="1:6" ht="28.5">
      <c r="A52" s="4">
        <v>1</v>
      </c>
      <c r="B52" s="37" t="s">
        <v>277</v>
      </c>
      <c r="C52" s="18" t="s">
        <v>278</v>
      </c>
      <c r="D52" s="16" t="s">
        <v>56</v>
      </c>
      <c r="E52" s="125">
        <v>40.5405405405405</v>
      </c>
      <c r="F52" s="16" t="s">
        <v>613</v>
      </c>
    </row>
    <row r="53" spans="1:6" ht="28.5">
      <c r="A53" s="4">
        <v>2</v>
      </c>
      <c r="B53" s="33" t="s">
        <v>243</v>
      </c>
      <c r="C53" s="39" t="s">
        <v>279</v>
      </c>
      <c r="D53" s="9" t="s">
        <v>56</v>
      </c>
      <c r="E53" s="117">
        <v>5.4054054054054</v>
      </c>
      <c r="F53" s="9" t="s">
        <v>613</v>
      </c>
    </row>
    <row r="54" spans="1:6" ht="15">
      <c r="A54" s="145"/>
      <c r="B54" s="547" t="s">
        <v>280</v>
      </c>
      <c r="C54" s="548"/>
      <c r="D54" s="47"/>
      <c r="E54" s="126">
        <f>SUM(E52:E53)</f>
        <v>45.945945945945894</v>
      </c>
      <c r="F54" s="10"/>
    </row>
    <row r="55" spans="1:6" ht="15">
      <c r="A55" s="266"/>
      <c r="B55" s="266"/>
      <c r="C55" s="266"/>
      <c r="D55" s="47"/>
      <c r="E55" s="132"/>
      <c r="F55" s="29"/>
    </row>
    <row r="56" spans="1:6" ht="15">
      <c r="A56" s="277"/>
      <c r="B56" s="545" t="s">
        <v>152</v>
      </c>
      <c r="C56" s="545"/>
      <c r="D56" s="159"/>
      <c r="E56" s="279"/>
      <c r="F56" s="280"/>
    </row>
    <row r="57" spans="1:6" ht="14.25">
      <c r="A57" s="1">
        <v>1</v>
      </c>
      <c r="B57" s="18" t="s">
        <v>250</v>
      </c>
      <c r="C57" s="18" t="s">
        <v>296</v>
      </c>
      <c r="D57" s="16" t="s">
        <v>606</v>
      </c>
      <c r="E57" s="293"/>
      <c r="F57" s="16" t="s">
        <v>612</v>
      </c>
    </row>
    <row r="58" spans="1:6" ht="14.25">
      <c r="A58" s="1">
        <v>2</v>
      </c>
      <c r="B58" s="499" t="s">
        <v>233</v>
      </c>
      <c r="C58" s="3" t="s">
        <v>296</v>
      </c>
      <c r="D58" s="1" t="s">
        <v>606</v>
      </c>
      <c r="E58" s="119">
        <f>1441688/3500</f>
        <v>411.91085714285714</v>
      </c>
      <c r="F58" s="1" t="s">
        <v>612</v>
      </c>
    </row>
    <row r="59" spans="1:6" ht="28.5">
      <c r="A59" s="9">
        <v>3</v>
      </c>
      <c r="B59" s="499"/>
      <c r="C59" s="85" t="s">
        <v>297</v>
      </c>
      <c r="D59" s="9" t="s">
        <v>605</v>
      </c>
      <c r="E59" s="123"/>
      <c r="F59" s="9" t="s">
        <v>612</v>
      </c>
    </row>
    <row r="60" spans="1:6" ht="15">
      <c r="A60" s="145"/>
      <c r="B60" s="547" t="s">
        <v>153</v>
      </c>
      <c r="C60" s="548"/>
      <c r="D60" s="549"/>
      <c r="E60" s="144">
        <f>SUM(E58)</f>
        <v>411.91085714285714</v>
      </c>
      <c r="F60" s="10"/>
    </row>
    <row r="61" spans="1:6" ht="15">
      <c r="A61" s="266"/>
      <c r="B61" s="266"/>
      <c r="C61" s="266"/>
      <c r="D61" s="47"/>
      <c r="E61" s="132"/>
      <c r="F61" s="29"/>
    </row>
    <row r="62" spans="1:6" ht="15">
      <c r="A62" s="266"/>
      <c r="B62" s="266"/>
      <c r="C62" s="29"/>
      <c r="D62" s="47"/>
      <c r="E62" s="132"/>
      <c r="F62" s="29"/>
    </row>
    <row r="63" spans="1:6" ht="15">
      <c r="A63" s="11"/>
      <c r="B63" s="47" t="s">
        <v>171</v>
      </c>
      <c r="C63" s="29"/>
      <c r="D63" s="29"/>
      <c r="E63" s="113"/>
      <c r="F63" s="10"/>
    </row>
    <row r="64" spans="1:6" ht="14.25">
      <c r="A64" s="82">
        <v>1</v>
      </c>
      <c r="B64" s="84" t="s">
        <v>236</v>
      </c>
      <c r="C64" s="319" t="s">
        <v>281</v>
      </c>
      <c r="D64" s="82" t="s">
        <v>605</v>
      </c>
      <c r="E64" s="129">
        <f>58668/3500</f>
        <v>16.762285714285714</v>
      </c>
      <c r="F64" s="41" t="s">
        <v>612</v>
      </c>
    </row>
    <row r="65" spans="1:6" ht="15">
      <c r="A65" s="145"/>
      <c r="B65" s="547" t="s">
        <v>282</v>
      </c>
      <c r="C65" s="548"/>
      <c r="D65" s="549"/>
      <c r="E65" s="144">
        <f>SUM(E64)</f>
        <v>16.762285714285714</v>
      </c>
      <c r="F65" s="10"/>
    </row>
    <row r="66" spans="1:6" ht="14.25">
      <c r="A66" s="40"/>
      <c r="B66" s="54"/>
      <c r="C66" s="308"/>
      <c r="D66" s="40"/>
      <c r="E66" s="175"/>
      <c r="F66" s="168"/>
    </row>
    <row r="67" spans="1:6" ht="15">
      <c r="A67" s="44"/>
      <c r="B67" s="573" t="s">
        <v>691</v>
      </c>
      <c r="C67" s="573"/>
      <c r="D67" s="45"/>
      <c r="E67" s="202"/>
      <c r="F67" s="10"/>
    </row>
    <row r="68" spans="1:6" ht="28.5">
      <c r="A68" s="92">
        <v>1</v>
      </c>
      <c r="B68" s="262" t="s">
        <v>283</v>
      </c>
      <c r="C68" s="18" t="s">
        <v>284</v>
      </c>
      <c r="D68" s="16" t="s">
        <v>605</v>
      </c>
      <c r="E68" s="203"/>
      <c r="F68" s="16" t="s">
        <v>611</v>
      </c>
    </row>
    <row r="69" spans="1:6" ht="28.5">
      <c r="A69" s="1">
        <v>2</v>
      </c>
      <c r="B69" s="17" t="s">
        <v>283</v>
      </c>
      <c r="C69" s="3" t="s">
        <v>285</v>
      </c>
      <c r="D69" s="16" t="s">
        <v>605</v>
      </c>
      <c r="E69" s="131"/>
      <c r="F69" s="1" t="s">
        <v>611</v>
      </c>
    </row>
    <row r="70" spans="1:6" ht="28.5">
      <c r="A70" s="92">
        <v>3</v>
      </c>
      <c r="B70" s="17" t="s">
        <v>283</v>
      </c>
      <c r="C70" s="3" t="s">
        <v>286</v>
      </c>
      <c r="D70" s="16" t="s">
        <v>605</v>
      </c>
      <c r="E70" s="131"/>
      <c r="F70" s="1" t="s">
        <v>611</v>
      </c>
    </row>
    <row r="71" spans="1:6" ht="28.5">
      <c r="A71" s="1">
        <v>4</v>
      </c>
      <c r="B71" s="17" t="s">
        <v>283</v>
      </c>
      <c r="C71" s="3" t="s">
        <v>287</v>
      </c>
      <c r="D71" s="16" t="s">
        <v>605</v>
      </c>
      <c r="E71" s="131"/>
      <c r="F71" s="1" t="s">
        <v>611</v>
      </c>
    </row>
    <row r="72" spans="1:6" ht="28.5">
      <c r="A72" s="92">
        <v>5</v>
      </c>
      <c r="B72" s="17" t="s">
        <v>283</v>
      </c>
      <c r="C72" s="3" t="s">
        <v>288</v>
      </c>
      <c r="D72" s="16" t="s">
        <v>605</v>
      </c>
      <c r="E72" s="131"/>
      <c r="F72" s="1" t="s">
        <v>611</v>
      </c>
    </row>
    <row r="73" spans="1:6" ht="28.5">
      <c r="A73" s="1">
        <v>6</v>
      </c>
      <c r="B73" s="17" t="s">
        <v>283</v>
      </c>
      <c r="C73" s="3" t="s">
        <v>289</v>
      </c>
      <c r="D73" s="16" t="s">
        <v>605</v>
      </c>
      <c r="E73" s="131"/>
      <c r="F73" s="1" t="s">
        <v>611</v>
      </c>
    </row>
    <row r="74" spans="1:6" ht="28.5">
      <c r="A74" s="92">
        <v>7</v>
      </c>
      <c r="B74" s="17" t="s">
        <v>283</v>
      </c>
      <c r="C74" s="3" t="s">
        <v>290</v>
      </c>
      <c r="D74" s="16" t="s">
        <v>605</v>
      </c>
      <c r="E74" s="131"/>
      <c r="F74" s="1" t="s">
        <v>611</v>
      </c>
    </row>
    <row r="75" spans="1:6" ht="28.5">
      <c r="A75" s="1">
        <v>8</v>
      </c>
      <c r="B75" s="17" t="s">
        <v>283</v>
      </c>
      <c r="C75" s="3" t="s">
        <v>291</v>
      </c>
      <c r="D75" s="16" t="s">
        <v>605</v>
      </c>
      <c r="E75" s="131"/>
      <c r="F75" s="1" t="s">
        <v>611</v>
      </c>
    </row>
    <row r="76" spans="1:6" ht="28.5">
      <c r="A76" s="92">
        <v>9</v>
      </c>
      <c r="B76" s="276" t="s">
        <v>283</v>
      </c>
      <c r="C76" s="39" t="s">
        <v>292</v>
      </c>
      <c r="D76" s="16" t="s">
        <v>605</v>
      </c>
      <c r="E76" s="286"/>
      <c r="F76" s="9" t="s">
        <v>611</v>
      </c>
    </row>
    <row r="77" spans="1:6" ht="15">
      <c r="A77" s="20"/>
      <c r="B77" s="547" t="s">
        <v>703</v>
      </c>
      <c r="C77" s="548"/>
      <c r="D77" s="40"/>
      <c r="E77" s="126">
        <f>SUM(E68:E76)</f>
        <v>0</v>
      </c>
      <c r="F77" s="201"/>
    </row>
    <row r="78" spans="1:6" ht="15">
      <c r="A78" s="268"/>
      <c r="B78" s="266"/>
      <c r="C78" s="29"/>
      <c r="D78" s="40"/>
      <c r="E78" s="289"/>
      <c r="F78" s="168"/>
    </row>
    <row r="79" spans="1:6" ht="15">
      <c r="A79" s="44"/>
      <c r="B79" s="573" t="s">
        <v>935</v>
      </c>
      <c r="C79" s="573"/>
      <c r="D79" s="55"/>
      <c r="E79" s="113"/>
      <c r="F79" s="10"/>
    </row>
    <row r="80" spans="1:6" ht="28.5">
      <c r="A80" s="41">
        <v>1</v>
      </c>
      <c r="B80" s="30" t="s">
        <v>250</v>
      </c>
      <c r="C80" s="157" t="s">
        <v>293</v>
      </c>
      <c r="D80" s="92" t="s">
        <v>606</v>
      </c>
      <c r="E80" s="120">
        <v>388</v>
      </c>
      <c r="F80" s="9" t="s">
        <v>613</v>
      </c>
    </row>
    <row r="81" spans="1:6" ht="15">
      <c r="A81" s="102"/>
      <c r="B81" s="51"/>
      <c r="C81" s="446" t="s">
        <v>938</v>
      </c>
      <c r="D81" s="272"/>
      <c r="E81" s="260">
        <f>SUM(E80)</f>
        <v>388</v>
      </c>
      <c r="F81" s="146"/>
    </row>
    <row r="82" spans="1:6" ht="15">
      <c r="A82" s="266"/>
      <c r="B82" s="47"/>
      <c r="C82" s="309"/>
      <c r="D82" s="267"/>
      <c r="E82" s="217"/>
      <c r="F82" s="29"/>
    </row>
    <row r="83" spans="1:6" ht="15">
      <c r="A83" s="150"/>
      <c r="B83" s="249" t="s">
        <v>192</v>
      </c>
      <c r="C83" s="176"/>
      <c r="D83" s="231"/>
      <c r="E83" s="177"/>
      <c r="F83" s="147"/>
    </row>
    <row r="84" spans="1:6" ht="14.25">
      <c r="A84" s="97">
        <v>1</v>
      </c>
      <c r="B84" s="84" t="s">
        <v>236</v>
      </c>
      <c r="C84" s="319" t="s">
        <v>294</v>
      </c>
      <c r="D84" s="82" t="s">
        <v>606</v>
      </c>
      <c r="E84" s="129">
        <v>1000</v>
      </c>
      <c r="F84" s="41" t="s">
        <v>612</v>
      </c>
    </row>
    <row r="85" spans="1:6" ht="15">
      <c r="A85" s="36"/>
      <c r="B85" s="258"/>
      <c r="C85" s="409" t="s">
        <v>199</v>
      </c>
      <c r="D85" s="259"/>
      <c r="E85" s="260">
        <f>SUM(E84)</f>
        <v>1000</v>
      </c>
      <c r="F85" s="185"/>
    </row>
    <row r="86" spans="1:6" ht="15">
      <c r="A86" s="90"/>
      <c r="B86" s="258"/>
      <c r="C86" s="409"/>
      <c r="D86" s="259"/>
      <c r="E86" s="526"/>
      <c r="F86" s="525"/>
    </row>
    <row r="87" spans="1:6" ht="15">
      <c r="A87" s="295"/>
      <c r="B87" s="585" t="s">
        <v>141</v>
      </c>
      <c r="C87" s="585"/>
      <c r="D87" s="296"/>
      <c r="E87" s="297"/>
      <c r="F87" s="298"/>
    </row>
    <row r="88" spans="1:6" ht="14.25">
      <c r="A88" s="82">
        <v>1</v>
      </c>
      <c r="B88" s="84" t="s">
        <v>313</v>
      </c>
      <c r="C88" s="48" t="s">
        <v>314</v>
      </c>
      <c r="D88" s="84" t="s">
        <v>605</v>
      </c>
      <c r="E88" s="133"/>
      <c r="F88" s="41" t="s">
        <v>613</v>
      </c>
    </row>
    <row r="89" spans="1:6" ht="15">
      <c r="A89" s="36"/>
      <c r="B89" s="586" t="s">
        <v>154</v>
      </c>
      <c r="C89" s="587"/>
      <c r="D89" s="258"/>
      <c r="E89" s="137"/>
      <c r="F89" s="185"/>
    </row>
    <row r="90" spans="1:6" ht="15">
      <c r="A90" s="148"/>
      <c r="B90" s="268"/>
      <c r="C90" s="447"/>
      <c r="D90" s="269"/>
      <c r="E90" s="217"/>
      <c r="F90" s="168"/>
    </row>
    <row r="91" spans="1:6" ht="15">
      <c r="A91" s="44"/>
      <c r="B91" s="573" t="s">
        <v>681</v>
      </c>
      <c r="C91" s="573"/>
      <c r="D91" s="45"/>
      <c r="E91" s="113"/>
      <c r="F91" s="10"/>
    </row>
    <row r="92" spans="1:6" ht="14.25">
      <c r="A92" s="41">
        <v>1</v>
      </c>
      <c r="B92" s="48" t="s">
        <v>250</v>
      </c>
      <c r="C92" s="48" t="s">
        <v>295</v>
      </c>
      <c r="D92" s="41" t="s">
        <v>606</v>
      </c>
      <c r="E92" s="291"/>
      <c r="F92" s="9" t="s">
        <v>950</v>
      </c>
    </row>
    <row r="93" spans="1:6" ht="15">
      <c r="A93" s="12"/>
      <c r="B93" s="547" t="s">
        <v>798</v>
      </c>
      <c r="C93" s="548"/>
      <c r="D93" s="549"/>
      <c r="E93" s="292"/>
      <c r="F93" s="201"/>
    </row>
    <row r="95" ht="15" thickBot="1"/>
    <row r="96" spans="1:6" ht="15.75" thickBot="1">
      <c r="A96" s="434">
        <f>SUM(A92+A88+A84+A80+A76+A64+A59+A53+A48+A31+A19+A11)</f>
        <v>56</v>
      </c>
      <c r="B96" s="425"/>
      <c r="C96" s="442" t="s">
        <v>926</v>
      </c>
      <c r="D96" s="422"/>
      <c r="E96" s="432">
        <f>SUM(E85+E81+E77+E65+E60+E54+E49+E32+E20+E12)</f>
        <v>49595.81968725869</v>
      </c>
      <c r="F96" s="444"/>
    </row>
    <row r="98" spans="3:5" ht="15">
      <c r="C98" s="439" t="s">
        <v>866</v>
      </c>
      <c r="E98" s="445">
        <f>SUM(E84+E80+E58+E53+E52+E40+E39+E38+E37+E36+E35+E27+E26+E25+E24+E23+E19+E18+E17+E16+E15+E11+E10+E9+E8+E7+E6+E5+E4)</f>
        <v>34496.4624015444</v>
      </c>
    </row>
    <row r="99" spans="3:5" ht="15">
      <c r="C99" s="439" t="s">
        <v>922</v>
      </c>
      <c r="E99" s="445">
        <f>SUM(E96-E98)</f>
        <v>15099.357285714294</v>
      </c>
    </row>
  </sheetData>
  <mergeCells count="30">
    <mergeCell ref="B15:B18"/>
    <mergeCell ref="B20:D20"/>
    <mergeCell ref="B87:C87"/>
    <mergeCell ref="B89:C89"/>
    <mergeCell ref="B34:C34"/>
    <mergeCell ref="B37:B40"/>
    <mergeCell ref="B42:B43"/>
    <mergeCell ref="B44:B45"/>
    <mergeCell ref="B46:B47"/>
    <mergeCell ref="B49:D49"/>
    <mergeCell ref="B54:C54"/>
    <mergeCell ref="B91:C91"/>
    <mergeCell ref="B67:C67"/>
    <mergeCell ref="B56:C56"/>
    <mergeCell ref="B58:B59"/>
    <mergeCell ref="B60:D60"/>
    <mergeCell ref="B93:D93"/>
    <mergeCell ref="B77:C77"/>
    <mergeCell ref="B79:C79"/>
    <mergeCell ref="B65:D65"/>
    <mergeCell ref="B1:C1"/>
    <mergeCell ref="B3:C3"/>
    <mergeCell ref="B22:C22"/>
    <mergeCell ref="B32:D32"/>
    <mergeCell ref="B12:D12"/>
    <mergeCell ref="B8:B11"/>
    <mergeCell ref="B6:B7"/>
    <mergeCell ref="B25:B27"/>
    <mergeCell ref="B29:B31"/>
    <mergeCell ref="B14:C14"/>
  </mergeCells>
  <printOptions horizontalCentered="1"/>
  <pageMargins left="0" right="0" top="1.1811023622047245" bottom="0.7874015748031497" header="0.35433070866141736" footer="0.1968503937007874"/>
  <pageSetup firstPageNumber="164" useFirstPageNumber="1" horizontalDpi="600" verticalDpi="600" orientation="landscape" paperSize="9" r:id="rId2"/>
  <headerFooter alignWithMargins="0">
    <oddFooter>&amp;LPartea a IV-a&amp;R&amp;P</oddFooter>
  </headerFooter>
  <rowBreaks count="5" manualBreakCount="5">
    <brk id="24" max="5" man="1"/>
    <brk id="43" max="5" man="1"/>
    <brk id="65" max="5" man="1"/>
    <brk id="77" max="5" man="1"/>
    <brk id="100" max="5" man="1"/>
  </rowBreaks>
  <colBreaks count="1" manualBreakCount="1">
    <brk id="6" max="10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Normal="60" zoomScaleSheetLayoutView="100" workbookViewId="0" topLeftCell="A85">
      <selection activeCell="B93" sqref="B93"/>
    </sheetView>
  </sheetViews>
  <sheetFormatPr defaultColWidth="9.140625" defaultRowHeight="12.75"/>
  <cols>
    <col min="1" max="1" width="4.7109375" style="21" customWidth="1"/>
    <col min="2" max="2" width="21.00390625" style="23" customWidth="1"/>
    <col min="3" max="3" width="61.28125" style="384" customWidth="1"/>
    <col min="4" max="4" width="13.7109375" style="21" customWidth="1"/>
    <col min="5" max="5" width="13.421875" style="138" customWidth="1"/>
    <col min="6" max="6" width="23.421875" style="24" customWidth="1"/>
    <col min="8" max="8" width="16.140625" style="0" customWidth="1"/>
  </cols>
  <sheetData>
    <row r="1" spans="1:4" ht="15">
      <c r="A1" s="301"/>
      <c r="B1" s="567" t="s">
        <v>315</v>
      </c>
      <c r="C1" s="567"/>
      <c r="D1" s="25"/>
    </row>
    <row r="2" spans="1:6" ht="45">
      <c r="A2" s="302" t="s">
        <v>602</v>
      </c>
      <c r="B2" s="108" t="s">
        <v>603</v>
      </c>
      <c r="C2" s="108" t="s">
        <v>616</v>
      </c>
      <c r="D2" s="222" t="s">
        <v>604</v>
      </c>
      <c r="E2" s="207" t="s">
        <v>615</v>
      </c>
      <c r="F2" s="108" t="s">
        <v>617</v>
      </c>
    </row>
    <row r="3" spans="1:6" s="19" customFormat="1" ht="15">
      <c r="A3" s="21"/>
      <c r="B3" s="104" t="s">
        <v>316</v>
      </c>
      <c r="C3" s="384"/>
      <c r="D3" s="21"/>
      <c r="E3" s="138"/>
      <c r="F3" s="24"/>
    </row>
    <row r="4" spans="1:6" s="19" customFormat="1" ht="28.5">
      <c r="A4" s="4">
        <v>1</v>
      </c>
      <c r="B4" s="5" t="s">
        <v>347</v>
      </c>
      <c r="C4" s="3" t="s">
        <v>306</v>
      </c>
      <c r="D4" s="4" t="s">
        <v>606</v>
      </c>
      <c r="E4" s="122">
        <v>1100</v>
      </c>
      <c r="F4" s="1" t="s">
        <v>307</v>
      </c>
    </row>
    <row r="5" spans="1:6" ht="14.25">
      <c r="A5" s="1">
        <v>2</v>
      </c>
      <c r="B5" s="3" t="s">
        <v>317</v>
      </c>
      <c r="C5" s="6" t="s">
        <v>318</v>
      </c>
      <c r="D5" s="1" t="s">
        <v>606</v>
      </c>
      <c r="E5" s="122">
        <v>1081.081081081081</v>
      </c>
      <c r="F5" s="1" t="s">
        <v>612</v>
      </c>
    </row>
    <row r="6" spans="1:6" ht="28.5">
      <c r="A6" s="4">
        <v>3</v>
      </c>
      <c r="B6" s="499" t="s">
        <v>319</v>
      </c>
      <c r="C6" s="6" t="s">
        <v>320</v>
      </c>
      <c r="D6" s="1" t="s">
        <v>606</v>
      </c>
      <c r="E6" s="122">
        <v>1891.8918918918919</v>
      </c>
      <c r="F6" s="1" t="s">
        <v>612</v>
      </c>
    </row>
    <row r="7" spans="1:6" ht="28.5">
      <c r="A7" s="1">
        <v>4</v>
      </c>
      <c r="B7" s="499"/>
      <c r="C7" s="3" t="s">
        <v>321</v>
      </c>
      <c r="D7" s="1" t="s">
        <v>606</v>
      </c>
      <c r="E7" s="122">
        <v>540.5405405405405</v>
      </c>
      <c r="F7" s="1" t="s">
        <v>612</v>
      </c>
    </row>
    <row r="8" spans="1:6" ht="14.25">
      <c r="A8" s="4">
        <v>5</v>
      </c>
      <c r="B8" s="3" t="s">
        <v>322</v>
      </c>
      <c r="C8" s="223" t="s">
        <v>323</v>
      </c>
      <c r="D8" s="1" t="s">
        <v>606</v>
      </c>
      <c r="E8" s="120">
        <v>433.13</v>
      </c>
      <c r="F8" s="1" t="s">
        <v>612</v>
      </c>
    </row>
    <row r="9" spans="1:6" ht="14.25">
      <c r="A9" s="1">
        <v>6</v>
      </c>
      <c r="B9" s="3" t="s">
        <v>324</v>
      </c>
      <c r="C9" s="6" t="s">
        <v>325</v>
      </c>
      <c r="D9" s="1" t="s">
        <v>606</v>
      </c>
      <c r="E9" s="122">
        <v>1022</v>
      </c>
      <c r="F9" s="1" t="s">
        <v>612</v>
      </c>
    </row>
    <row r="10" spans="1:6" ht="28.5">
      <c r="A10" s="4">
        <v>7</v>
      </c>
      <c r="B10" s="3" t="s">
        <v>326</v>
      </c>
      <c r="C10" s="3" t="s">
        <v>327</v>
      </c>
      <c r="D10" s="1" t="s">
        <v>606</v>
      </c>
      <c r="E10" s="122">
        <v>643</v>
      </c>
      <c r="F10" s="1" t="s">
        <v>612</v>
      </c>
    </row>
    <row r="11" spans="1:6" ht="14.25">
      <c r="A11" s="1">
        <v>8</v>
      </c>
      <c r="B11" s="3" t="s">
        <v>328</v>
      </c>
      <c r="C11" s="6" t="s">
        <v>329</v>
      </c>
      <c r="D11" s="1" t="s">
        <v>606</v>
      </c>
      <c r="E11" s="122">
        <v>1350.86</v>
      </c>
      <c r="F11" s="1" t="s">
        <v>612</v>
      </c>
    </row>
    <row r="12" spans="1:6" ht="14.25">
      <c r="A12" s="4">
        <v>9</v>
      </c>
      <c r="B12" s="499" t="s">
        <v>330</v>
      </c>
      <c r="C12" s="3" t="s">
        <v>331</v>
      </c>
      <c r="D12" s="1" t="s">
        <v>606</v>
      </c>
      <c r="E12" s="122">
        <f>359566/3500</f>
        <v>102.73314285714285</v>
      </c>
      <c r="F12" s="1" t="s">
        <v>612</v>
      </c>
    </row>
    <row r="13" spans="1:6" ht="14.25">
      <c r="A13" s="1">
        <v>10</v>
      </c>
      <c r="B13" s="499"/>
      <c r="C13" s="6" t="s">
        <v>332</v>
      </c>
      <c r="D13" s="1" t="s">
        <v>606</v>
      </c>
      <c r="E13" s="122">
        <f>3005702/3700</f>
        <v>812.3518918918919</v>
      </c>
      <c r="F13" s="1" t="s">
        <v>612</v>
      </c>
    </row>
    <row r="14" spans="1:6" ht="28.5">
      <c r="A14" s="4">
        <v>11</v>
      </c>
      <c r="B14" s="499" t="s">
        <v>333</v>
      </c>
      <c r="C14" s="6" t="s">
        <v>334</v>
      </c>
      <c r="D14" s="1" t="s">
        <v>606</v>
      </c>
      <c r="E14" s="122">
        <v>7.098108108108108</v>
      </c>
      <c r="F14" s="1" t="s">
        <v>612</v>
      </c>
    </row>
    <row r="15" spans="1:6" ht="28.5">
      <c r="A15" s="1">
        <v>12</v>
      </c>
      <c r="B15" s="499"/>
      <c r="C15" s="6" t="s">
        <v>335</v>
      </c>
      <c r="D15" s="1" t="s">
        <v>606</v>
      </c>
      <c r="E15" s="122">
        <v>51.806486486486484</v>
      </c>
      <c r="F15" s="1" t="s">
        <v>612</v>
      </c>
    </row>
    <row r="16" spans="1:6" ht="28.5">
      <c r="A16" s="4">
        <v>13</v>
      </c>
      <c r="B16" s="499"/>
      <c r="C16" s="6" t="s">
        <v>336</v>
      </c>
      <c r="D16" s="1" t="s">
        <v>606</v>
      </c>
      <c r="E16" s="122">
        <v>174.2891891891892</v>
      </c>
      <c r="F16" s="1" t="s">
        <v>612</v>
      </c>
    </row>
    <row r="17" spans="1:6" ht="14.25">
      <c r="A17" s="1">
        <v>14</v>
      </c>
      <c r="B17" s="5" t="s">
        <v>337</v>
      </c>
      <c r="C17" s="3" t="s">
        <v>338</v>
      </c>
      <c r="D17" s="4" t="s">
        <v>605</v>
      </c>
      <c r="E17" s="122">
        <f>200000/3500</f>
        <v>57.142857142857146</v>
      </c>
      <c r="F17" s="1" t="s">
        <v>612</v>
      </c>
    </row>
    <row r="18" spans="1:6" ht="14.25">
      <c r="A18" s="4">
        <v>15</v>
      </c>
      <c r="B18" s="30" t="s">
        <v>333</v>
      </c>
      <c r="C18" s="39" t="s">
        <v>339</v>
      </c>
      <c r="D18" s="26" t="s">
        <v>605</v>
      </c>
      <c r="E18" s="281">
        <f>600000/3500</f>
        <v>171.42857142857142</v>
      </c>
      <c r="F18" s="9" t="s">
        <v>612</v>
      </c>
    </row>
    <row r="19" spans="1:6" ht="28.5">
      <c r="A19" s="1">
        <v>16</v>
      </c>
      <c r="B19" s="5" t="s">
        <v>919</v>
      </c>
      <c r="C19" s="3" t="s">
        <v>920</v>
      </c>
      <c r="D19" s="4" t="s">
        <v>605</v>
      </c>
      <c r="E19" s="122">
        <v>1000</v>
      </c>
      <c r="F19" s="1" t="s">
        <v>307</v>
      </c>
    </row>
    <row r="20" spans="1:6" ht="15">
      <c r="A20" s="412"/>
      <c r="B20" s="31"/>
      <c r="C20" s="309" t="s">
        <v>340</v>
      </c>
      <c r="D20" s="32"/>
      <c r="E20" s="179">
        <f>SUM(E4:E19)</f>
        <v>10439.353760617758</v>
      </c>
      <c r="F20" s="10"/>
    </row>
    <row r="21" spans="1:6" ht="15">
      <c r="A21" s="32"/>
      <c r="B21" s="31"/>
      <c r="C21" s="309"/>
      <c r="D21" s="32"/>
      <c r="E21" s="353"/>
      <c r="F21" s="29"/>
    </row>
    <row r="22" spans="1:6" ht="15">
      <c r="A22" s="152"/>
      <c r="B22" s="240" t="s">
        <v>132</v>
      </c>
      <c r="C22" s="176"/>
      <c r="D22" s="176"/>
      <c r="E22" s="305"/>
      <c r="F22" s="147"/>
    </row>
    <row r="23" spans="1:6" ht="28.5">
      <c r="A23" s="1">
        <v>1</v>
      </c>
      <c r="B23" s="3" t="s">
        <v>330</v>
      </c>
      <c r="C23" s="6" t="s">
        <v>390</v>
      </c>
      <c r="D23" s="1" t="s">
        <v>606</v>
      </c>
      <c r="E23" s="120">
        <v>126.85672972972974</v>
      </c>
      <c r="F23" s="1" t="s">
        <v>612</v>
      </c>
    </row>
    <row r="24" spans="1:6" ht="14.25">
      <c r="A24" s="1">
        <v>2</v>
      </c>
      <c r="B24" s="3" t="s">
        <v>333</v>
      </c>
      <c r="C24" s="3" t="s">
        <v>391</v>
      </c>
      <c r="D24" s="1" t="s">
        <v>606</v>
      </c>
      <c r="E24" s="120">
        <v>69.65691891891892</v>
      </c>
      <c r="F24" s="1" t="s">
        <v>612</v>
      </c>
    </row>
    <row r="25" spans="1:6" ht="14.25">
      <c r="A25" s="1">
        <v>3</v>
      </c>
      <c r="B25" s="3" t="s">
        <v>326</v>
      </c>
      <c r="C25" s="2" t="s">
        <v>2</v>
      </c>
      <c r="D25" s="1" t="s">
        <v>605</v>
      </c>
      <c r="E25" s="120"/>
      <c r="F25" s="1" t="s">
        <v>612</v>
      </c>
    </row>
    <row r="26" spans="1:6" ht="15">
      <c r="A26" s="290"/>
      <c r="B26" s="377"/>
      <c r="C26" s="358" t="s">
        <v>157</v>
      </c>
      <c r="D26" s="47"/>
      <c r="E26" s="126">
        <f>SUM(E23:E25)</f>
        <v>196.51364864864865</v>
      </c>
      <c r="F26" s="10"/>
    </row>
    <row r="27" spans="1:6" ht="15">
      <c r="A27" s="32"/>
      <c r="B27" s="31"/>
      <c r="C27" s="309"/>
      <c r="D27" s="32"/>
      <c r="E27" s="353"/>
      <c r="F27" s="29"/>
    </row>
    <row r="28" spans="1:6" ht="15">
      <c r="A28" s="150"/>
      <c r="B28" s="240" t="s">
        <v>341</v>
      </c>
      <c r="C28" s="176"/>
      <c r="D28" s="176"/>
      <c r="E28" s="305"/>
      <c r="F28" s="147"/>
    </row>
    <row r="29" spans="1:6" ht="14.25">
      <c r="A29" s="27">
        <v>1</v>
      </c>
      <c r="B29" s="18" t="s">
        <v>317</v>
      </c>
      <c r="C29" s="18" t="s">
        <v>342</v>
      </c>
      <c r="D29" s="16" t="s">
        <v>606</v>
      </c>
      <c r="E29" s="114">
        <v>1000</v>
      </c>
      <c r="F29" s="16" t="s">
        <v>613</v>
      </c>
    </row>
    <row r="30" spans="1:6" ht="14.25">
      <c r="A30" s="4">
        <v>2</v>
      </c>
      <c r="B30" s="3" t="s">
        <v>343</v>
      </c>
      <c r="C30" s="3" t="s">
        <v>344</v>
      </c>
      <c r="D30" s="1" t="s">
        <v>606</v>
      </c>
      <c r="E30" s="120">
        <v>1100</v>
      </c>
      <c r="F30" s="1" t="s">
        <v>613</v>
      </c>
    </row>
    <row r="31" spans="1:6" ht="15" customHeight="1">
      <c r="A31" s="4">
        <v>3</v>
      </c>
      <c r="B31" s="3" t="s">
        <v>326</v>
      </c>
      <c r="C31" s="3" t="s">
        <v>345</v>
      </c>
      <c r="D31" s="1" t="s">
        <v>606</v>
      </c>
      <c r="E31" s="120">
        <v>552.77</v>
      </c>
      <c r="F31" s="1" t="s">
        <v>613</v>
      </c>
    </row>
    <row r="32" spans="1:6" ht="14.25">
      <c r="A32" s="4">
        <v>4</v>
      </c>
      <c r="B32" s="3" t="s">
        <v>328</v>
      </c>
      <c r="C32" s="6" t="s">
        <v>346</v>
      </c>
      <c r="D32" s="1" t="s">
        <v>606</v>
      </c>
      <c r="E32" s="120">
        <v>5384.04</v>
      </c>
      <c r="F32" s="1" t="s">
        <v>613</v>
      </c>
    </row>
    <row r="33" spans="1:6" ht="28.5">
      <c r="A33" s="27">
        <v>5</v>
      </c>
      <c r="B33" s="569" t="s">
        <v>347</v>
      </c>
      <c r="C33" s="233" t="s">
        <v>348</v>
      </c>
      <c r="D33" s="170" t="s">
        <v>606</v>
      </c>
      <c r="E33" s="306">
        <v>650</v>
      </c>
      <c r="F33" s="1" t="s">
        <v>614</v>
      </c>
    </row>
    <row r="34" spans="1:6" ht="14.25">
      <c r="A34" s="4">
        <v>6</v>
      </c>
      <c r="B34" s="570"/>
      <c r="C34" s="3" t="s">
        <v>349</v>
      </c>
      <c r="D34" s="1" t="s">
        <v>606</v>
      </c>
      <c r="E34" s="120">
        <v>500</v>
      </c>
      <c r="F34" s="1" t="s">
        <v>614</v>
      </c>
    </row>
    <row r="35" spans="1:6" ht="14.25">
      <c r="A35" s="4">
        <v>7</v>
      </c>
      <c r="B35" s="235" t="s">
        <v>319</v>
      </c>
      <c r="C35" s="3" t="s">
        <v>350</v>
      </c>
      <c r="D35" s="12" t="s">
        <v>608</v>
      </c>
      <c r="E35" s="120"/>
      <c r="F35" s="1" t="s">
        <v>613</v>
      </c>
    </row>
    <row r="36" spans="1:6" ht="28.5">
      <c r="A36" s="4">
        <v>8</v>
      </c>
      <c r="B36" s="235" t="s">
        <v>324</v>
      </c>
      <c r="C36" s="6" t="s">
        <v>351</v>
      </c>
      <c r="D36" s="12" t="s">
        <v>608</v>
      </c>
      <c r="E36" s="120"/>
      <c r="F36" s="1" t="s">
        <v>613</v>
      </c>
    </row>
    <row r="37" spans="1:6" ht="28.5">
      <c r="A37" s="27">
        <v>9</v>
      </c>
      <c r="B37" s="235" t="s">
        <v>326</v>
      </c>
      <c r="C37" s="6" t="s">
        <v>352</v>
      </c>
      <c r="D37" s="12" t="s">
        <v>608</v>
      </c>
      <c r="E37" s="120"/>
      <c r="F37" s="1" t="s">
        <v>613</v>
      </c>
    </row>
    <row r="38" spans="1:6" ht="14.25">
      <c r="A38" s="27">
        <v>10</v>
      </c>
      <c r="B38" s="237" t="s">
        <v>337</v>
      </c>
      <c r="C38" s="2" t="s">
        <v>353</v>
      </c>
      <c r="D38" s="12" t="s">
        <v>608</v>
      </c>
      <c r="E38" s="120"/>
      <c r="F38" s="1" t="s">
        <v>613</v>
      </c>
    </row>
    <row r="39" spans="1:6" ht="14.25">
      <c r="A39" s="27">
        <v>11</v>
      </c>
      <c r="B39" s="569" t="s">
        <v>347</v>
      </c>
      <c r="C39" s="3" t="s">
        <v>259</v>
      </c>
      <c r="D39" s="1" t="s">
        <v>608</v>
      </c>
      <c r="E39" s="120">
        <v>2200</v>
      </c>
      <c r="F39" s="1" t="s">
        <v>614</v>
      </c>
    </row>
    <row r="40" spans="1:6" ht="14.25">
      <c r="A40" s="4">
        <v>12</v>
      </c>
      <c r="B40" s="535"/>
      <c r="C40" s="3" t="s">
        <v>257</v>
      </c>
      <c r="D40" s="1" t="s">
        <v>608</v>
      </c>
      <c r="E40" s="120">
        <v>2200</v>
      </c>
      <c r="F40" s="1" t="s">
        <v>614</v>
      </c>
    </row>
    <row r="41" spans="1:6" ht="14.25">
      <c r="A41" s="4">
        <v>13</v>
      </c>
      <c r="B41" s="535"/>
      <c r="C41" s="3" t="s">
        <v>354</v>
      </c>
      <c r="D41" s="1" t="s">
        <v>608</v>
      </c>
      <c r="E41" s="120">
        <v>200</v>
      </c>
      <c r="F41" s="1" t="s">
        <v>614</v>
      </c>
    </row>
    <row r="42" spans="1:6" ht="14.25">
      <c r="A42" s="4">
        <v>14</v>
      </c>
      <c r="B42" s="535"/>
      <c r="C42" s="3" t="s">
        <v>355</v>
      </c>
      <c r="D42" s="1" t="s">
        <v>608</v>
      </c>
      <c r="E42" s="120">
        <v>200</v>
      </c>
      <c r="F42" s="1" t="s">
        <v>614</v>
      </c>
    </row>
    <row r="43" spans="1:6" s="307" customFormat="1" ht="14.25">
      <c r="A43" s="27">
        <v>15</v>
      </c>
      <c r="B43" s="535"/>
      <c r="C43" s="39" t="s">
        <v>356</v>
      </c>
      <c r="D43" s="9" t="s">
        <v>608</v>
      </c>
      <c r="E43" s="116">
        <v>1000</v>
      </c>
      <c r="F43" s="9" t="s">
        <v>614</v>
      </c>
    </row>
    <row r="44" spans="1:6" ht="15">
      <c r="A44" s="178"/>
      <c r="B44" s="308"/>
      <c r="C44" s="309" t="s">
        <v>357</v>
      </c>
      <c r="D44" s="168"/>
      <c r="E44" s="303">
        <f>SUM(E29:E43)</f>
        <v>14986.81</v>
      </c>
      <c r="F44" s="201"/>
    </row>
    <row r="45" spans="1:6" ht="14.25">
      <c r="A45" s="40"/>
      <c r="B45" s="174"/>
      <c r="C45" s="308"/>
      <c r="D45" s="40"/>
      <c r="E45" s="304"/>
      <c r="F45" s="168"/>
    </row>
    <row r="46" spans="1:6" ht="15">
      <c r="A46" s="197"/>
      <c r="B46" s="240" t="s">
        <v>358</v>
      </c>
      <c r="C46" s="197"/>
      <c r="D46" s="197"/>
      <c r="E46" s="310"/>
      <c r="F46" s="197"/>
    </row>
    <row r="47" spans="1:6" ht="28.5">
      <c r="A47" s="1">
        <v>1</v>
      </c>
      <c r="B47" s="3" t="s">
        <v>326</v>
      </c>
      <c r="C47" s="3" t="s">
        <v>0</v>
      </c>
      <c r="D47" s="4" t="s">
        <v>606</v>
      </c>
      <c r="E47" s="120">
        <v>1450.45</v>
      </c>
      <c r="F47" s="1" t="s">
        <v>613</v>
      </c>
    </row>
    <row r="48" spans="1:6" ht="14.25">
      <c r="A48" s="1">
        <v>2</v>
      </c>
      <c r="B48" s="3" t="s">
        <v>328</v>
      </c>
      <c r="C48" s="233" t="s">
        <v>359</v>
      </c>
      <c r="D48" s="1" t="s">
        <v>606</v>
      </c>
      <c r="E48" s="120">
        <v>950</v>
      </c>
      <c r="F48" s="1" t="s">
        <v>613</v>
      </c>
    </row>
    <row r="49" spans="1:6" ht="14.25">
      <c r="A49" s="1">
        <v>3</v>
      </c>
      <c r="B49" s="530" t="s">
        <v>347</v>
      </c>
      <c r="C49" s="3" t="s">
        <v>360</v>
      </c>
      <c r="D49" s="4" t="s">
        <v>606</v>
      </c>
      <c r="E49" s="122">
        <v>25</v>
      </c>
      <c r="F49" s="1" t="s">
        <v>614</v>
      </c>
    </row>
    <row r="50" spans="1:6" ht="14.25">
      <c r="A50" s="1">
        <v>4</v>
      </c>
      <c r="B50" s="531"/>
      <c r="C50" s="3" t="s">
        <v>361</v>
      </c>
      <c r="D50" s="4" t="s">
        <v>606</v>
      </c>
      <c r="E50" s="122">
        <v>249</v>
      </c>
      <c r="F50" s="1" t="s">
        <v>614</v>
      </c>
    </row>
    <row r="51" spans="1:6" ht="14.25">
      <c r="A51" s="1">
        <v>5</v>
      </c>
      <c r="B51" s="531"/>
      <c r="C51" s="3" t="s">
        <v>362</v>
      </c>
      <c r="D51" s="4" t="s">
        <v>606</v>
      </c>
      <c r="E51" s="122">
        <v>70</v>
      </c>
      <c r="F51" s="1" t="s">
        <v>614</v>
      </c>
    </row>
    <row r="52" spans="1:6" ht="14.25">
      <c r="A52" s="1">
        <v>6</v>
      </c>
      <c r="B52" s="532"/>
      <c r="C52" s="3" t="s">
        <v>873</v>
      </c>
      <c r="D52" s="4" t="s">
        <v>608</v>
      </c>
      <c r="E52" s="120">
        <v>686.34</v>
      </c>
      <c r="F52" s="1" t="s">
        <v>613</v>
      </c>
    </row>
    <row r="53" spans="1:6" ht="14.25">
      <c r="A53" s="1">
        <v>7</v>
      </c>
      <c r="B53" s="499" t="s">
        <v>330</v>
      </c>
      <c r="C53" s="3" t="s">
        <v>872</v>
      </c>
      <c r="D53" s="4" t="s">
        <v>608</v>
      </c>
      <c r="E53" s="120">
        <v>363</v>
      </c>
      <c r="F53" s="1" t="s">
        <v>613</v>
      </c>
    </row>
    <row r="54" spans="1:6" ht="14.25">
      <c r="A54" s="1">
        <v>8</v>
      </c>
      <c r="B54" s="499"/>
      <c r="C54" s="3" t="s">
        <v>873</v>
      </c>
      <c r="D54" s="4" t="s">
        <v>608</v>
      </c>
      <c r="E54" s="120">
        <v>871.2</v>
      </c>
      <c r="F54" s="1" t="s">
        <v>613</v>
      </c>
    </row>
    <row r="55" spans="1:6" ht="14.25">
      <c r="A55" s="1">
        <v>9</v>
      </c>
      <c r="B55" s="499" t="s">
        <v>337</v>
      </c>
      <c r="C55" s="3" t="s">
        <v>872</v>
      </c>
      <c r="D55" s="4" t="s">
        <v>608</v>
      </c>
      <c r="E55" s="120">
        <v>177.675</v>
      </c>
      <c r="F55" s="1" t="s">
        <v>613</v>
      </c>
    </row>
    <row r="56" spans="1:6" ht="14.25">
      <c r="A56" s="1">
        <v>10</v>
      </c>
      <c r="B56" s="499"/>
      <c r="C56" s="3" t="s">
        <v>873</v>
      </c>
      <c r="D56" s="4" t="s">
        <v>608</v>
      </c>
      <c r="E56" s="120">
        <v>426.42</v>
      </c>
      <c r="F56" s="1" t="s">
        <v>613</v>
      </c>
    </row>
    <row r="57" spans="1:6" ht="14.25">
      <c r="A57" s="1">
        <v>11</v>
      </c>
      <c r="B57" s="499" t="s">
        <v>347</v>
      </c>
      <c r="C57" s="3" t="s">
        <v>265</v>
      </c>
      <c r="D57" s="4" t="s">
        <v>608</v>
      </c>
      <c r="E57" s="122">
        <v>200</v>
      </c>
      <c r="F57" s="1" t="s">
        <v>614</v>
      </c>
    </row>
    <row r="58" spans="1:6" ht="14.25">
      <c r="A58" s="1">
        <v>12</v>
      </c>
      <c r="B58" s="499"/>
      <c r="C58" s="3" t="s">
        <v>363</v>
      </c>
      <c r="D58" s="4" t="s">
        <v>608</v>
      </c>
      <c r="E58" s="122">
        <v>400</v>
      </c>
      <c r="F58" s="1" t="s">
        <v>614</v>
      </c>
    </row>
    <row r="59" spans="1:6" ht="14.25">
      <c r="A59" s="9">
        <v>13</v>
      </c>
      <c r="B59" s="569"/>
      <c r="C59" s="39" t="s">
        <v>364</v>
      </c>
      <c r="D59" s="26" t="s">
        <v>608</v>
      </c>
      <c r="E59" s="281">
        <v>1500</v>
      </c>
      <c r="F59" s="9" t="s">
        <v>614</v>
      </c>
    </row>
    <row r="60" spans="1:6" ht="15">
      <c r="A60" s="412"/>
      <c r="B60" s="31"/>
      <c r="C60" s="309" t="s">
        <v>365</v>
      </c>
      <c r="D60" s="412"/>
      <c r="E60" s="179">
        <f>SUM(E47:E59)</f>
        <v>7369.085</v>
      </c>
      <c r="F60" s="108"/>
    </row>
    <row r="61" spans="1:6" ht="14.25">
      <c r="A61" s="40"/>
      <c r="B61" s="174"/>
      <c r="C61" s="308"/>
      <c r="D61" s="40"/>
      <c r="E61" s="304"/>
      <c r="F61" s="168"/>
    </row>
    <row r="62" spans="1:6" ht="15">
      <c r="A62" s="197"/>
      <c r="B62" s="240" t="s">
        <v>366</v>
      </c>
      <c r="C62" s="197"/>
      <c r="D62" s="197"/>
      <c r="E62" s="310"/>
      <c r="F62" s="197"/>
    </row>
    <row r="63" spans="1:6" ht="14.25">
      <c r="A63" s="26">
        <v>1</v>
      </c>
      <c r="B63" s="39" t="s">
        <v>319</v>
      </c>
      <c r="C63" s="39" t="s">
        <v>367</v>
      </c>
      <c r="D63" s="9" t="s">
        <v>605</v>
      </c>
      <c r="E63" s="281"/>
      <c r="F63" s="311" t="s">
        <v>368</v>
      </c>
    </row>
    <row r="64" spans="1:6" ht="15">
      <c r="A64" s="36"/>
      <c r="B64" s="312"/>
      <c r="C64" s="357" t="s">
        <v>369</v>
      </c>
      <c r="D64" s="258"/>
      <c r="E64" s="288"/>
      <c r="F64" s="185"/>
    </row>
    <row r="65" spans="1:6" ht="15">
      <c r="A65" s="90"/>
      <c r="B65" s="312"/>
      <c r="C65" s="357"/>
      <c r="D65" s="258"/>
      <c r="E65" s="528"/>
      <c r="F65" s="525"/>
    </row>
    <row r="66" spans="1:6" ht="15">
      <c r="A66" s="316"/>
      <c r="B66" s="240" t="s">
        <v>158</v>
      </c>
      <c r="C66" s="456"/>
      <c r="D66" s="240"/>
      <c r="E66" s="317"/>
      <c r="F66" s="318"/>
    </row>
    <row r="67" spans="1:6" ht="14.25">
      <c r="A67" s="16">
        <v>1</v>
      </c>
      <c r="B67" s="18" t="s">
        <v>347</v>
      </c>
      <c r="C67" s="18" t="s">
        <v>392</v>
      </c>
      <c r="D67" s="16" t="s">
        <v>606</v>
      </c>
      <c r="E67" s="114">
        <v>854</v>
      </c>
      <c r="F67" s="16" t="s">
        <v>614</v>
      </c>
    </row>
    <row r="68" spans="1:6" ht="14.25">
      <c r="A68" s="9">
        <v>2</v>
      </c>
      <c r="B68" s="39" t="s">
        <v>343</v>
      </c>
      <c r="C68" s="33" t="s">
        <v>393</v>
      </c>
      <c r="D68" s="9" t="s">
        <v>608</v>
      </c>
      <c r="E68" s="116">
        <f>300000/3500</f>
        <v>85.71428571428571</v>
      </c>
      <c r="F68" s="9" t="s">
        <v>612</v>
      </c>
    </row>
    <row r="69" spans="1:6" ht="15">
      <c r="A69" s="145"/>
      <c r="B69" s="377"/>
      <c r="C69" s="358" t="s">
        <v>153</v>
      </c>
      <c r="D69" s="47"/>
      <c r="E69" s="126">
        <f>SUM(E67:E68)</f>
        <v>939.7142857142857</v>
      </c>
      <c r="F69" s="10"/>
    </row>
    <row r="70" spans="1:6" ht="14.25">
      <c r="A70" s="40"/>
      <c r="B70" s="174"/>
      <c r="C70" s="308"/>
      <c r="D70" s="40"/>
      <c r="E70" s="304"/>
      <c r="F70" s="168"/>
    </row>
    <row r="71" spans="1:6" ht="15">
      <c r="A71" s="150"/>
      <c r="B71" s="240" t="s">
        <v>370</v>
      </c>
      <c r="C71" s="176"/>
      <c r="D71" s="176"/>
      <c r="E71" s="305"/>
      <c r="F71" s="147"/>
    </row>
    <row r="72" spans="1:6" ht="14.25">
      <c r="A72" s="1">
        <v>1</v>
      </c>
      <c r="B72" s="535" t="s">
        <v>319</v>
      </c>
      <c r="C72" s="18" t="s">
        <v>371</v>
      </c>
      <c r="D72" s="41" t="s">
        <v>607</v>
      </c>
      <c r="E72" s="114">
        <f>150000/3500</f>
        <v>42.857142857142854</v>
      </c>
      <c r="F72" s="16" t="s">
        <v>612</v>
      </c>
    </row>
    <row r="73" spans="1:6" ht="14.25">
      <c r="A73" s="1">
        <v>2</v>
      </c>
      <c r="B73" s="570"/>
      <c r="C73" s="3" t="s">
        <v>372</v>
      </c>
      <c r="D73" s="9" t="s">
        <v>607</v>
      </c>
      <c r="E73" s="120">
        <f>140000/3500</f>
        <v>40</v>
      </c>
      <c r="F73" s="1" t="s">
        <v>612</v>
      </c>
    </row>
    <row r="74" spans="1:6" ht="14.25">
      <c r="A74" s="1">
        <v>3</v>
      </c>
      <c r="B74" s="3" t="s">
        <v>317</v>
      </c>
      <c r="C74" s="3" t="s">
        <v>373</v>
      </c>
      <c r="D74" s="1" t="s">
        <v>606</v>
      </c>
      <c r="E74" s="120"/>
      <c r="F74" s="1" t="s">
        <v>612</v>
      </c>
    </row>
    <row r="75" spans="1:6" ht="14.25">
      <c r="A75" s="1">
        <v>4</v>
      </c>
      <c r="B75" s="499" t="s">
        <v>337</v>
      </c>
      <c r="C75" s="3" t="s">
        <v>374</v>
      </c>
      <c r="D75" s="1" t="s">
        <v>606</v>
      </c>
      <c r="E75" s="120"/>
      <c r="F75" s="1" t="s">
        <v>612</v>
      </c>
    </row>
    <row r="76" spans="1:6" ht="14.25">
      <c r="A76" s="1">
        <v>5</v>
      </c>
      <c r="B76" s="499"/>
      <c r="C76" s="39" t="s">
        <v>375</v>
      </c>
      <c r="D76" s="26" t="s">
        <v>606</v>
      </c>
      <c r="E76" s="281">
        <f>1715498/3500</f>
        <v>490.1422857142857</v>
      </c>
      <c r="F76" s="9" t="s">
        <v>612</v>
      </c>
    </row>
    <row r="77" spans="1:6" ht="14.25">
      <c r="A77" s="9">
        <v>6</v>
      </c>
      <c r="B77" s="384" t="s">
        <v>326</v>
      </c>
      <c r="C77" s="449" t="s">
        <v>1</v>
      </c>
      <c r="D77" s="287" t="s">
        <v>605</v>
      </c>
      <c r="E77" s="281"/>
      <c r="F77" s="185"/>
    </row>
    <row r="78" spans="1:6" ht="15">
      <c r="A78" s="412"/>
      <c r="B78" s="31"/>
      <c r="C78" s="309" t="s">
        <v>376</v>
      </c>
      <c r="D78" s="32"/>
      <c r="E78" s="179">
        <f>SUM(E72:E77)</f>
        <v>572.9994285714286</v>
      </c>
      <c r="F78" s="10"/>
    </row>
    <row r="79" spans="1:6" ht="14.25">
      <c r="A79" s="40"/>
      <c r="B79" s="174"/>
      <c r="C79" s="308"/>
      <c r="D79" s="40"/>
      <c r="E79" s="304"/>
      <c r="F79" s="168"/>
    </row>
    <row r="80" spans="1:6" ht="15">
      <c r="A80" s="150"/>
      <c r="B80" s="240" t="s">
        <v>377</v>
      </c>
      <c r="C80" s="176"/>
      <c r="D80" s="176"/>
      <c r="E80" s="305"/>
      <c r="F80" s="147"/>
    </row>
    <row r="81" spans="1:6" ht="14.25">
      <c r="A81" s="82">
        <v>1</v>
      </c>
      <c r="B81" s="84" t="s">
        <v>330</v>
      </c>
      <c r="C81" s="84" t="s">
        <v>174</v>
      </c>
      <c r="D81" s="82" t="s">
        <v>129</v>
      </c>
      <c r="E81" s="313">
        <f>1290058/3700</f>
        <v>348.6643243243243</v>
      </c>
      <c r="F81" s="41" t="s">
        <v>612</v>
      </c>
    </row>
    <row r="82" spans="1:6" ht="15">
      <c r="A82" s="145"/>
      <c r="B82" s="377"/>
      <c r="C82" s="358" t="s">
        <v>378</v>
      </c>
      <c r="D82" s="47"/>
      <c r="E82" s="126">
        <f>SUM(E81)</f>
        <v>348.6643243243243</v>
      </c>
      <c r="F82" s="10"/>
    </row>
    <row r="83" spans="1:6" ht="15">
      <c r="A83" s="266"/>
      <c r="B83" s="377"/>
      <c r="C83" s="358"/>
      <c r="D83" s="47"/>
      <c r="E83" s="132"/>
      <c r="F83" s="29"/>
    </row>
    <row r="84" spans="1:6" ht="15">
      <c r="A84" s="151"/>
      <c r="B84" s="240" t="s">
        <v>141</v>
      </c>
      <c r="C84" s="315"/>
      <c r="D84" s="315"/>
      <c r="E84" s="305"/>
      <c r="F84" s="147"/>
    </row>
    <row r="85" spans="1:6" ht="14.25">
      <c r="A85" s="1">
        <v>1</v>
      </c>
      <c r="B85" s="3" t="s">
        <v>343</v>
      </c>
      <c r="C85" s="2" t="s">
        <v>396</v>
      </c>
      <c r="D85" s="1" t="s">
        <v>608</v>
      </c>
      <c r="E85" s="120">
        <f>3000000/3500</f>
        <v>857.1428571428571</v>
      </c>
      <c r="F85" s="1" t="s">
        <v>784</v>
      </c>
    </row>
    <row r="86" spans="1:6" ht="28.5">
      <c r="A86" s="1">
        <v>2</v>
      </c>
      <c r="B86" s="3" t="s">
        <v>326</v>
      </c>
      <c r="C86" s="2" t="s">
        <v>4</v>
      </c>
      <c r="D86" s="1" t="s">
        <v>608</v>
      </c>
      <c r="E86" s="120"/>
      <c r="F86" s="1" t="s">
        <v>784</v>
      </c>
    </row>
    <row r="87" spans="1:6" ht="15">
      <c r="A87" s="102"/>
      <c r="B87" s="314"/>
      <c r="C87" s="357" t="s">
        <v>159</v>
      </c>
      <c r="D87" s="51"/>
      <c r="E87" s="184">
        <f>SUM(E85)</f>
        <v>857.1428571428571</v>
      </c>
      <c r="F87" s="146"/>
    </row>
    <row r="88" spans="1:6" ht="14.25">
      <c r="A88" s="40"/>
      <c r="B88" s="174"/>
      <c r="C88" s="308"/>
      <c r="D88" s="40"/>
      <c r="E88" s="304"/>
      <c r="F88" s="168"/>
    </row>
    <row r="89" spans="1:6" ht="15">
      <c r="A89" s="151"/>
      <c r="B89" s="240" t="s">
        <v>691</v>
      </c>
      <c r="C89" s="315"/>
      <c r="D89" s="315"/>
      <c r="E89" s="305"/>
      <c r="F89" s="147"/>
    </row>
    <row r="90" spans="1:6" ht="14.25">
      <c r="A90" s="92">
        <v>1</v>
      </c>
      <c r="B90" s="481" t="s">
        <v>726</v>
      </c>
      <c r="C90" s="262" t="s">
        <v>379</v>
      </c>
      <c r="D90" s="16" t="s">
        <v>606</v>
      </c>
      <c r="E90" s="203">
        <f>1800/3.5</f>
        <v>514.2857142857143</v>
      </c>
      <c r="F90" s="16" t="s">
        <v>611</v>
      </c>
    </row>
    <row r="91" spans="1:6" ht="28.5">
      <c r="A91" s="92">
        <v>2</v>
      </c>
      <c r="B91" s="482" t="s">
        <v>347</v>
      </c>
      <c r="C91" s="17" t="s">
        <v>380</v>
      </c>
      <c r="D91" s="1" t="s">
        <v>606</v>
      </c>
      <c r="E91" s="131">
        <f>2325/3.5</f>
        <v>664.2857142857143</v>
      </c>
      <c r="F91" s="1" t="s">
        <v>611</v>
      </c>
    </row>
    <row r="92" spans="1:6" ht="14.25">
      <c r="A92" s="92">
        <v>3</v>
      </c>
      <c r="B92" s="482"/>
      <c r="C92" s="17" t="s">
        <v>381</v>
      </c>
      <c r="D92" s="1" t="s">
        <v>606</v>
      </c>
      <c r="E92" s="131">
        <f>477/3.5</f>
        <v>136.28571428571428</v>
      </c>
      <c r="F92" s="1" t="s">
        <v>611</v>
      </c>
    </row>
    <row r="93" spans="1:6" ht="14.25">
      <c r="A93" s="92">
        <v>4</v>
      </c>
      <c r="B93" s="483"/>
      <c r="C93" s="17" t="s">
        <v>382</v>
      </c>
      <c r="D93" s="1" t="s">
        <v>606</v>
      </c>
      <c r="E93" s="131">
        <f>200/3.5</f>
        <v>57.142857142857146</v>
      </c>
      <c r="F93" s="1" t="s">
        <v>611</v>
      </c>
    </row>
    <row r="94" spans="1:6" ht="14.25">
      <c r="A94" s="92">
        <v>5</v>
      </c>
      <c r="B94" s="481" t="s">
        <v>726</v>
      </c>
      <c r="C94" s="17" t="s">
        <v>383</v>
      </c>
      <c r="D94" s="1" t="s">
        <v>606</v>
      </c>
      <c r="E94" s="131">
        <f>20/3.5</f>
        <v>5.714285714285714</v>
      </c>
      <c r="F94" s="1" t="s">
        <v>611</v>
      </c>
    </row>
    <row r="95" spans="1:6" ht="14.25">
      <c r="A95" s="92">
        <v>6</v>
      </c>
      <c r="B95" s="482" t="s">
        <v>347</v>
      </c>
      <c r="C95" s="17" t="s">
        <v>384</v>
      </c>
      <c r="D95" s="1" t="s">
        <v>606</v>
      </c>
      <c r="E95" s="131">
        <f>60/3.5</f>
        <v>17.142857142857142</v>
      </c>
      <c r="F95" s="1" t="s">
        <v>611</v>
      </c>
    </row>
    <row r="96" spans="1:6" ht="14.25">
      <c r="A96" s="94">
        <v>7</v>
      </c>
      <c r="B96" s="483"/>
      <c r="C96" s="276" t="s">
        <v>385</v>
      </c>
      <c r="D96" s="9" t="s">
        <v>606</v>
      </c>
      <c r="E96" s="286">
        <f>70/3.5</f>
        <v>20</v>
      </c>
      <c r="F96" s="9" t="s">
        <v>611</v>
      </c>
    </row>
    <row r="97" spans="1:6" ht="15">
      <c r="A97" s="149"/>
      <c r="B97" s="314"/>
      <c r="C97" s="357" t="s">
        <v>386</v>
      </c>
      <c r="D97" s="230"/>
      <c r="E97" s="184">
        <f>SUM(E90:E96)</f>
        <v>1414.857142857143</v>
      </c>
      <c r="F97" s="146"/>
    </row>
    <row r="98" spans="1:6" ht="14.25">
      <c r="A98" s="40"/>
      <c r="B98" s="174"/>
      <c r="C98" s="308"/>
      <c r="D98" s="40"/>
      <c r="E98" s="304"/>
      <c r="F98" s="168"/>
    </row>
    <row r="99" spans="1:6" ht="15">
      <c r="A99" s="151"/>
      <c r="B99" s="240" t="s">
        <v>387</v>
      </c>
      <c r="C99" s="315"/>
      <c r="D99" s="315"/>
      <c r="E99" s="305"/>
      <c r="F99" s="147"/>
    </row>
    <row r="100" spans="1:6" ht="14.25">
      <c r="A100" s="41">
        <v>1</v>
      </c>
      <c r="B100" s="48" t="s">
        <v>347</v>
      </c>
      <c r="C100" s="48" t="s">
        <v>388</v>
      </c>
      <c r="D100" s="41" t="s">
        <v>818</v>
      </c>
      <c r="E100" s="134">
        <v>620</v>
      </c>
      <c r="F100" s="41" t="s">
        <v>950</v>
      </c>
    </row>
    <row r="101" spans="1:6" ht="15">
      <c r="A101" s="204"/>
      <c r="B101" s="413"/>
      <c r="C101" s="358" t="s">
        <v>389</v>
      </c>
      <c r="D101" s="20"/>
      <c r="E101" s="126">
        <f>SUM(E100)</f>
        <v>620</v>
      </c>
      <c r="F101" s="1"/>
    </row>
    <row r="102" spans="1:6" ht="14.25">
      <c r="A102" s="40"/>
      <c r="B102" s="174"/>
      <c r="C102" s="308"/>
      <c r="D102" s="40"/>
      <c r="E102" s="304"/>
      <c r="F102" s="168"/>
    </row>
    <row r="103" spans="1:6" ht="15">
      <c r="A103" s="151"/>
      <c r="B103" s="240" t="s">
        <v>394</v>
      </c>
      <c r="C103" s="315"/>
      <c r="D103" s="315"/>
      <c r="E103" s="305"/>
      <c r="F103" s="147"/>
    </row>
    <row r="104" spans="1:6" s="374" customFormat="1" ht="42.75">
      <c r="A104" s="41">
        <v>1</v>
      </c>
      <c r="B104" s="48" t="s">
        <v>347</v>
      </c>
      <c r="C104" s="319" t="s">
        <v>3</v>
      </c>
      <c r="D104" s="41" t="s">
        <v>606</v>
      </c>
      <c r="E104" s="320">
        <v>7100</v>
      </c>
      <c r="F104" s="41" t="s">
        <v>613</v>
      </c>
    </row>
    <row r="105" spans="1:6" ht="15">
      <c r="A105" s="367"/>
      <c r="B105" s="377"/>
      <c r="C105" s="358" t="s">
        <v>395</v>
      </c>
      <c r="D105" s="266"/>
      <c r="E105" s="126">
        <f>SUM(E104:E104)</f>
        <v>7100</v>
      </c>
      <c r="F105" s="10"/>
    </row>
    <row r="106" ht="15" thickBot="1"/>
    <row r="107" spans="1:6" ht="15.75" thickBot="1">
      <c r="A107" s="434">
        <f>A19+A43+A59+A63+A77+A81+A96+A100+A25+A68+A104+A86</f>
        <v>68</v>
      </c>
      <c r="B107" s="448"/>
      <c r="C107" s="442" t="s">
        <v>927</v>
      </c>
      <c r="D107" s="422"/>
      <c r="E107" s="426">
        <f>SUM(E87+E105+E69+E26+E101+E97+E82+E78+E60+E44+E20)</f>
        <v>44845.140447876445</v>
      </c>
      <c r="F107" s="444"/>
    </row>
    <row r="109" spans="3:5" ht="15">
      <c r="C109" s="439" t="s">
        <v>866</v>
      </c>
      <c r="E109" s="387">
        <f>SUM(E104+E67+E24+E23+E100+E96+E95+E94+E93+E92+E91+E90+E81+E76+E73+E72+E51+E50+E49+E48+E47+E34+E33+E32+E31+E30+E29+E16+E15+E14+E13+E12+E11+E10+E9+E8+E7+E6+E5+E4)</f>
        <v>32249.076876447874</v>
      </c>
    </row>
    <row r="110" spans="3:5" ht="15">
      <c r="C110" s="439" t="s">
        <v>922</v>
      </c>
      <c r="E110" s="387">
        <f>SUM(E107-E109)</f>
        <v>12596.06357142857</v>
      </c>
    </row>
  </sheetData>
  <mergeCells count="12">
    <mergeCell ref="B57:B59"/>
    <mergeCell ref="B72:B73"/>
    <mergeCell ref="B75:B76"/>
    <mergeCell ref="B49:B52"/>
    <mergeCell ref="B53:B54"/>
    <mergeCell ref="B55:B56"/>
    <mergeCell ref="B1:C1"/>
    <mergeCell ref="B33:B34"/>
    <mergeCell ref="B39:B43"/>
    <mergeCell ref="B6:B7"/>
    <mergeCell ref="B14:B16"/>
    <mergeCell ref="B12:B13"/>
  </mergeCells>
  <printOptions horizontalCentered="1"/>
  <pageMargins left="0" right="0" top="1.1811023622047245" bottom="0.7874015748031497" header="0.35433070866141736" footer="0.1968503937007874"/>
  <pageSetup firstPageNumber="169" useFirstPageNumber="1" horizontalDpi="600" verticalDpi="600" orientation="landscape" paperSize="9" r:id="rId2"/>
  <headerFooter alignWithMargins="0">
    <oddFooter>&amp;LPartea a IV-a&amp;R&amp;P</oddFooter>
  </headerFooter>
  <rowBreaks count="4" manualBreakCount="4">
    <brk id="20" max="5" man="1"/>
    <brk id="44" max="5" man="1"/>
    <brk id="69" max="5" man="1"/>
    <brk id="9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Normal="60" zoomScaleSheetLayoutView="100" workbookViewId="0" topLeftCell="A93">
      <selection activeCell="C97" sqref="C97"/>
    </sheetView>
  </sheetViews>
  <sheetFormatPr defaultColWidth="9.140625" defaultRowHeight="12.75"/>
  <cols>
    <col min="1" max="1" width="7.00390625" style="301" customWidth="1"/>
    <col min="2" max="2" width="19.8515625" style="22" customWidth="1"/>
    <col min="3" max="3" width="64.00390625" style="384" customWidth="1"/>
    <col min="4" max="4" width="14.28125" style="21" customWidth="1"/>
    <col min="5" max="5" width="14.421875" style="138" customWidth="1"/>
    <col min="6" max="6" width="23.28125" style="24" customWidth="1"/>
    <col min="8" max="8" width="13.28125" style="0" customWidth="1"/>
  </cols>
  <sheetData>
    <row r="1" spans="2:4" ht="15">
      <c r="B1" s="567" t="s">
        <v>397</v>
      </c>
      <c r="C1" s="567"/>
      <c r="D1" s="25"/>
    </row>
    <row r="2" spans="1:6" ht="45">
      <c r="A2" s="302" t="s">
        <v>602</v>
      </c>
      <c r="B2" s="108" t="s">
        <v>603</v>
      </c>
      <c r="C2" s="108" t="s">
        <v>616</v>
      </c>
      <c r="D2" s="222" t="s">
        <v>604</v>
      </c>
      <c r="E2" s="207" t="s">
        <v>615</v>
      </c>
      <c r="F2" s="108" t="s">
        <v>617</v>
      </c>
    </row>
    <row r="3" spans="1:6" ht="15">
      <c r="A3" s="324"/>
      <c r="B3" s="545" t="s">
        <v>398</v>
      </c>
      <c r="C3" s="545"/>
      <c r="D3" s="29"/>
      <c r="E3" s="202"/>
      <c r="F3" s="29"/>
    </row>
    <row r="4" spans="1:6" ht="28.5">
      <c r="A4" s="325">
        <v>1</v>
      </c>
      <c r="B4" s="37" t="s">
        <v>399</v>
      </c>
      <c r="C4" s="18" t="s">
        <v>400</v>
      </c>
      <c r="D4" s="16" t="s">
        <v>606</v>
      </c>
      <c r="E4" s="326">
        <f>340/3.7</f>
        <v>91.89189189189189</v>
      </c>
      <c r="F4" s="16" t="s">
        <v>612</v>
      </c>
    </row>
    <row r="5" spans="1:6" ht="28.5">
      <c r="A5" s="327">
        <v>2</v>
      </c>
      <c r="B5" s="2" t="s">
        <v>401</v>
      </c>
      <c r="C5" s="6" t="s">
        <v>402</v>
      </c>
      <c r="D5" s="1" t="s">
        <v>606</v>
      </c>
      <c r="E5" s="122">
        <v>135.13513513513513</v>
      </c>
      <c r="F5" s="1" t="s">
        <v>612</v>
      </c>
    </row>
    <row r="6" spans="1:6" ht="14.25">
      <c r="A6" s="325">
        <v>3</v>
      </c>
      <c r="B6" s="533" t="s">
        <v>403</v>
      </c>
      <c r="C6" s="3" t="s">
        <v>404</v>
      </c>
      <c r="D6" s="16" t="s">
        <v>405</v>
      </c>
      <c r="E6" s="120">
        <v>76.38</v>
      </c>
      <c r="F6" s="1" t="s">
        <v>612</v>
      </c>
    </row>
    <row r="7" spans="1:6" ht="14.25">
      <c r="A7" s="327">
        <v>4</v>
      </c>
      <c r="B7" s="533"/>
      <c r="C7" s="3" t="s">
        <v>406</v>
      </c>
      <c r="D7" s="16" t="s">
        <v>405</v>
      </c>
      <c r="E7" s="120">
        <v>493.27</v>
      </c>
      <c r="F7" s="1" t="s">
        <v>612</v>
      </c>
    </row>
    <row r="8" spans="1:6" ht="28.5">
      <c r="A8" s="325">
        <v>5</v>
      </c>
      <c r="B8" s="2" t="s">
        <v>407</v>
      </c>
      <c r="C8" s="6" t="s">
        <v>408</v>
      </c>
      <c r="D8" s="1" t="s">
        <v>606</v>
      </c>
      <c r="E8" s="122">
        <v>912.034</v>
      </c>
      <c r="F8" s="1" t="s">
        <v>612</v>
      </c>
    </row>
    <row r="9" spans="1:6" ht="14.25">
      <c r="A9" s="327">
        <v>6</v>
      </c>
      <c r="B9" s="33" t="s">
        <v>409</v>
      </c>
      <c r="C9" s="39" t="s">
        <v>410</v>
      </c>
      <c r="D9" s="9" t="s">
        <v>56</v>
      </c>
      <c r="E9" s="281">
        <f>1200000/3500</f>
        <v>342.85714285714283</v>
      </c>
      <c r="F9" s="9" t="s">
        <v>612</v>
      </c>
    </row>
    <row r="10" spans="1:6" ht="14.25">
      <c r="A10" s="327">
        <v>7</v>
      </c>
      <c r="B10" s="555" t="s">
        <v>411</v>
      </c>
      <c r="C10" s="3" t="s">
        <v>412</v>
      </c>
      <c r="D10" s="4" t="s">
        <v>605</v>
      </c>
      <c r="E10" s="122">
        <f>100/3.7</f>
        <v>27.027027027027025</v>
      </c>
      <c r="F10" s="1" t="s">
        <v>612</v>
      </c>
    </row>
    <row r="11" spans="1:6" ht="14.25">
      <c r="A11" s="327">
        <v>8</v>
      </c>
      <c r="B11" s="555"/>
      <c r="C11" s="3" t="s">
        <v>413</v>
      </c>
      <c r="D11" s="4" t="s">
        <v>605</v>
      </c>
      <c r="E11" s="122">
        <f>200/3.7</f>
        <v>54.05405405405405</v>
      </c>
      <c r="F11" s="1" t="s">
        <v>612</v>
      </c>
    </row>
    <row r="12" spans="1:6" ht="28.5">
      <c r="A12" s="325">
        <v>9</v>
      </c>
      <c r="B12" s="555"/>
      <c r="C12" s="3" t="s">
        <v>426</v>
      </c>
      <c r="D12" s="4" t="s">
        <v>605</v>
      </c>
      <c r="E12" s="122">
        <f>50/3.7</f>
        <v>13.513513513513512</v>
      </c>
      <c r="F12" s="1" t="s">
        <v>612</v>
      </c>
    </row>
    <row r="13" spans="1:6" ht="28.5">
      <c r="A13" s="328">
        <v>10</v>
      </c>
      <c r="B13" s="530"/>
      <c r="C13" s="39" t="s">
        <v>427</v>
      </c>
      <c r="D13" s="26" t="s">
        <v>605</v>
      </c>
      <c r="E13" s="281">
        <f>70/3.7</f>
        <v>18.91891891891892</v>
      </c>
      <c r="F13" s="9" t="s">
        <v>612</v>
      </c>
    </row>
    <row r="14" spans="1:6" ht="15">
      <c r="A14" s="327"/>
      <c r="B14" s="54"/>
      <c r="C14" s="309" t="s">
        <v>428</v>
      </c>
      <c r="D14" s="40"/>
      <c r="E14" s="179">
        <f>SUM(E4:E13)</f>
        <v>2165.081683397683</v>
      </c>
      <c r="F14" s="201"/>
    </row>
    <row r="15" spans="1:6" ht="15">
      <c r="A15" s="529"/>
      <c r="C15" s="537"/>
      <c r="E15" s="538"/>
      <c r="F15" s="215"/>
    </row>
    <row r="16" spans="1:6" ht="15">
      <c r="A16" s="341"/>
      <c r="B16" s="545" t="s">
        <v>132</v>
      </c>
      <c r="C16" s="545"/>
      <c r="D16" s="29"/>
      <c r="E16" s="202"/>
      <c r="F16" s="201"/>
    </row>
    <row r="17" spans="1:6" ht="28.5">
      <c r="A17" s="336">
        <v>1</v>
      </c>
      <c r="B17" s="42" t="s">
        <v>401</v>
      </c>
      <c r="C17" s="48" t="s">
        <v>473</v>
      </c>
      <c r="D17" s="41" t="s">
        <v>605</v>
      </c>
      <c r="E17" s="134"/>
      <c r="F17" s="41" t="s">
        <v>612</v>
      </c>
    </row>
    <row r="18" spans="1:6" ht="15">
      <c r="A18" s="342"/>
      <c r="B18" s="54"/>
      <c r="C18" s="358" t="s">
        <v>133</v>
      </c>
      <c r="D18" s="268"/>
      <c r="E18" s="126">
        <f>SUM(E17)</f>
        <v>0</v>
      </c>
      <c r="F18" s="201"/>
    </row>
    <row r="20" spans="1:6" ht="15">
      <c r="A20" s="324"/>
      <c r="B20" s="545" t="s">
        <v>341</v>
      </c>
      <c r="C20" s="545"/>
      <c r="D20" s="29"/>
      <c r="E20" s="202"/>
      <c r="F20" s="10"/>
    </row>
    <row r="21" spans="1:6" ht="14.25">
      <c r="A21" s="329">
        <v>1</v>
      </c>
      <c r="B21" s="37" t="s">
        <v>411</v>
      </c>
      <c r="C21" s="18" t="s">
        <v>429</v>
      </c>
      <c r="D21" s="16" t="s">
        <v>606</v>
      </c>
      <c r="E21" s="114">
        <v>775</v>
      </c>
      <c r="F21" s="16" t="s">
        <v>613</v>
      </c>
    </row>
    <row r="22" spans="1:6" ht="28.5">
      <c r="A22" s="330">
        <v>2</v>
      </c>
      <c r="B22" s="2" t="s">
        <v>430</v>
      </c>
      <c r="C22" s="6" t="s">
        <v>431</v>
      </c>
      <c r="D22" s="1" t="s">
        <v>606</v>
      </c>
      <c r="E22" s="120">
        <v>1180</v>
      </c>
      <c r="F22" s="1" t="s">
        <v>613</v>
      </c>
    </row>
    <row r="23" spans="1:6" ht="28.5">
      <c r="A23" s="329">
        <v>3</v>
      </c>
      <c r="B23" s="2" t="s">
        <v>403</v>
      </c>
      <c r="C23" s="3" t="s">
        <v>432</v>
      </c>
      <c r="D23" s="16" t="s">
        <v>405</v>
      </c>
      <c r="E23" s="120">
        <v>609.6</v>
      </c>
      <c r="F23" s="1" t="s">
        <v>613</v>
      </c>
    </row>
    <row r="24" spans="1:6" ht="14.25">
      <c r="A24" s="330">
        <v>4</v>
      </c>
      <c r="B24" s="2" t="s">
        <v>407</v>
      </c>
      <c r="C24" s="3" t="s">
        <v>433</v>
      </c>
      <c r="D24" s="1" t="s">
        <v>606</v>
      </c>
      <c r="E24" s="120">
        <v>1017.33</v>
      </c>
      <c r="F24" s="1" t="s">
        <v>613</v>
      </c>
    </row>
    <row r="25" spans="1:6" ht="28.5">
      <c r="A25" s="330">
        <v>5</v>
      </c>
      <c r="B25" s="533" t="s">
        <v>434</v>
      </c>
      <c r="C25" s="6" t="s">
        <v>435</v>
      </c>
      <c r="D25" s="1" t="s">
        <v>606</v>
      </c>
      <c r="E25" s="120">
        <v>1000</v>
      </c>
      <c r="F25" s="1" t="s">
        <v>614</v>
      </c>
    </row>
    <row r="26" spans="1:6" ht="14.25">
      <c r="A26" s="330">
        <v>6</v>
      </c>
      <c r="B26" s="533"/>
      <c r="C26" s="3" t="s">
        <v>436</v>
      </c>
      <c r="D26" s="1" t="s">
        <v>606</v>
      </c>
      <c r="E26" s="120">
        <v>1235.61</v>
      </c>
      <c r="F26" s="1" t="s">
        <v>614</v>
      </c>
    </row>
    <row r="27" spans="1:6" ht="14.25">
      <c r="A27" s="329">
        <v>7</v>
      </c>
      <c r="B27" s="533"/>
      <c r="C27" s="3" t="s">
        <v>437</v>
      </c>
      <c r="D27" s="16" t="s">
        <v>405</v>
      </c>
      <c r="E27" s="120">
        <f>49348.55/3500</f>
        <v>14.099585714285714</v>
      </c>
      <c r="F27" s="1" t="s">
        <v>614</v>
      </c>
    </row>
    <row r="28" spans="1:6" ht="42.75">
      <c r="A28" s="330">
        <v>8</v>
      </c>
      <c r="B28" s="66" t="s">
        <v>438</v>
      </c>
      <c r="C28" s="6" t="s">
        <v>439</v>
      </c>
      <c r="D28" s="12" t="s">
        <v>608</v>
      </c>
      <c r="E28" s="120">
        <v>7450</v>
      </c>
      <c r="F28" s="1" t="s">
        <v>613</v>
      </c>
    </row>
    <row r="29" spans="1:6" ht="28.5">
      <c r="A29" s="330">
        <v>9</v>
      </c>
      <c r="B29" s="574" t="s">
        <v>401</v>
      </c>
      <c r="C29" s="3" t="s">
        <v>440</v>
      </c>
      <c r="D29" s="12"/>
      <c r="E29" s="120"/>
      <c r="F29" s="1" t="s">
        <v>613</v>
      </c>
    </row>
    <row r="30" spans="1:6" ht="28.5">
      <c r="A30" s="330">
        <v>10</v>
      </c>
      <c r="B30" s="546"/>
      <c r="C30" s="3" t="s">
        <v>441</v>
      </c>
      <c r="D30" s="12"/>
      <c r="E30" s="120"/>
      <c r="F30" s="1" t="s">
        <v>613</v>
      </c>
    </row>
    <row r="31" spans="1:6" ht="28.5">
      <c r="A31" s="329">
        <v>11</v>
      </c>
      <c r="B31" s="575"/>
      <c r="C31" s="3" t="s">
        <v>442</v>
      </c>
      <c r="D31" s="12"/>
      <c r="E31" s="120"/>
      <c r="F31" s="1" t="s">
        <v>613</v>
      </c>
    </row>
    <row r="32" spans="1:6" ht="42.75">
      <c r="A32" s="330">
        <v>12</v>
      </c>
      <c r="B32" s="533" t="s">
        <v>434</v>
      </c>
      <c r="C32" s="3" t="s">
        <v>443</v>
      </c>
      <c r="D32" s="1" t="s">
        <v>608</v>
      </c>
      <c r="E32" s="120"/>
      <c r="F32" s="1" t="s">
        <v>614</v>
      </c>
    </row>
    <row r="33" spans="1:6" ht="14.25">
      <c r="A33" s="330">
        <v>13</v>
      </c>
      <c r="B33" s="533"/>
      <c r="C33" s="3" t="s">
        <v>444</v>
      </c>
      <c r="D33" s="1" t="s">
        <v>608</v>
      </c>
      <c r="E33" s="120">
        <v>100</v>
      </c>
      <c r="F33" s="1" t="s">
        <v>614</v>
      </c>
    </row>
    <row r="34" spans="1:6" ht="14.25">
      <c r="A34" s="331">
        <v>14</v>
      </c>
      <c r="B34" s="574"/>
      <c r="C34" s="85" t="s">
        <v>445</v>
      </c>
      <c r="D34" s="9" t="s">
        <v>608</v>
      </c>
      <c r="E34" s="116">
        <v>1360</v>
      </c>
      <c r="F34" s="9" t="s">
        <v>614</v>
      </c>
    </row>
    <row r="35" spans="1:6" ht="15">
      <c r="A35" s="332"/>
      <c r="B35" s="54"/>
      <c r="C35" s="309" t="s">
        <v>446</v>
      </c>
      <c r="D35" s="174"/>
      <c r="E35" s="179">
        <f>SUM(E21:E34)</f>
        <v>14741.639585714285</v>
      </c>
      <c r="F35" s="201"/>
    </row>
    <row r="37" spans="1:6" ht="15">
      <c r="A37" s="324"/>
      <c r="B37" s="545" t="s">
        <v>447</v>
      </c>
      <c r="C37" s="545"/>
      <c r="D37" s="29"/>
      <c r="E37" s="202"/>
      <c r="F37" s="10"/>
    </row>
    <row r="38" spans="1:6" ht="28.5">
      <c r="A38" s="325">
        <v>1</v>
      </c>
      <c r="B38" s="37" t="s">
        <v>401</v>
      </c>
      <c r="C38" s="18" t="s">
        <v>448</v>
      </c>
      <c r="D38" s="16" t="s">
        <v>606</v>
      </c>
      <c r="E38" s="326">
        <v>980</v>
      </c>
      <c r="F38" s="16" t="s">
        <v>613</v>
      </c>
    </row>
    <row r="39" spans="1:6" ht="14.25">
      <c r="A39" s="330">
        <v>2</v>
      </c>
      <c r="B39" s="530" t="s">
        <v>449</v>
      </c>
      <c r="C39" s="3" t="s">
        <v>450</v>
      </c>
      <c r="D39" s="4" t="s">
        <v>451</v>
      </c>
      <c r="E39" s="122">
        <f>300000/3500</f>
        <v>85.71428571428571</v>
      </c>
      <c r="F39" s="1" t="s">
        <v>614</v>
      </c>
    </row>
    <row r="40" spans="1:6" ht="14.25">
      <c r="A40" s="327">
        <v>3</v>
      </c>
      <c r="B40" s="531"/>
      <c r="C40" s="3" t="s">
        <v>452</v>
      </c>
      <c r="D40" s="1" t="s">
        <v>607</v>
      </c>
      <c r="E40" s="120">
        <f>50000/3500</f>
        <v>14.285714285714286</v>
      </c>
      <c r="F40" s="1" t="s">
        <v>614</v>
      </c>
    </row>
    <row r="41" spans="1:6" ht="14.25">
      <c r="A41" s="327">
        <v>4</v>
      </c>
      <c r="B41" s="532"/>
      <c r="C41" s="3" t="s">
        <v>453</v>
      </c>
      <c r="D41" s="1" t="s">
        <v>264</v>
      </c>
      <c r="E41" s="120">
        <f>4500000/3500</f>
        <v>1285.7142857142858</v>
      </c>
      <c r="F41" s="1" t="s">
        <v>614</v>
      </c>
    </row>
    <row r="42" spans="1:6" ht="14.25">
      <c r="A42" s="327">
        <v>5</v>
      </c>
      <c r="B42" s="533" t="s">
        <v>399</v>
      </c>
      <c r="C42" s="3" t="s">
        <v>872</v>
      </c>
      <c r="D42" s="4" t="s">
        <v>608</v>
      </c>
      <c r="E42" s="120">
        <v>216.675</v>
      </c>
      <c r="F42" s="1" t="s">
        <v>613</v>
      </c>
    </row>
    <row r="43" spans="1:6" ht="14.25">
      <c r="A43" s="330">
        <v>6</v>
      </c>
      <c r="B43" s="533"/>
      <c r="C43" s="3" t="s">
        <v>873</v>
      </c>
      <c r="D43" s="4" t="s">
        <v>608</v>
      </c>
      <c r="E43" s="120">
        <v>520.02</v>
      </c>
      <c r="F43" s="1" t="s">
        <v>613</v>
      </c>
    </row>
    <row r="44" spans="1:6" ht="14.25">
      <c r="A44" s="327">
        <v>7</v>
      </c>
      <c r="B44" s="533" t="s">
        <v>438</v>
      </c>
      <c r="C44" s="3" t="s">
        <v>872</v>
      </c>
      <c r="D44" s="4" t="s">
        <v>608</v>
      </c>
      <c r="E44" s="120">
        <v>165.375</v>
      </c>
      <c r="F44" s="1" t="s">
        <v>613</v>
      </c>
    </row>
    <row r="45" spans="1:6" ht="14.25">
      <c r="A45" s="330">
        <v>8</v>
      </c>
      <c r="B45" s="533"/>
      <c r="C45" s="3" t="s">
        <v>873</v>
      </c>
      <c r="D45" s="4" t="s">
        <v>608</v>
      </c>
      <c r="E45" s="120">
        <v>396.9</v>
      </c>
      <c r="F45" s="1" t="s">
        <v>613</v>
      </c>
    </row>
    <row r="46" spans="1:6" ht="14.25">
      <c r="A46" s="327">
        <v>9</v>
      </c>
      <c r="B46" s="533" t="s">
        <v>430</v>
      </c>
      <c r="C46" s="3" t="s">
        <v>872</v>
      </c>
      <c r="D46" s="4" t="s">
        <v>608</v>
      </c>
      <c r="E46" s="120">
        <v>171.825</v>
      </c>
      <c r="F46" s="1" t="s">
        <v>613</v>
      </c>
    </row>
    <row r="47" spans="1:6" ht="14.25">
      <c r="A47" s="330">
        <v>10</v>
      </c>
      <c r="B47" s="533"/>
      <c r="C47" s="3" t="s">
        <v>873</v>
      </c>
      <c r="D47" s="4" t="s">
        <v>608</v>
      </c>
      <c r="E47" s="120">
        <v>412.38</v>
      </c>
      <c r="F47" s="1" t="s">
        <v>613</v>
      </c>
    </row>
    <row r="48" spans="1:6" ht="14.25">
      <c r="A48" s="327">
        <v>11</v>
      </c>
      <c r="B48" s="533" t="s">
        <v>407</v>
      </c>
      <c r="C48" s="3" t="s">
        <v>872</v>
      </c>
      <c r="D48" s="4" t="s">
        <v>608</v>
      </c>
      <c r="E48" s="120">
        <v>189.75</v>
      </c>
      <c r="F48" s="1" t="s">
        <v>613</v>
      </c>
    </row>
    <row r="49" spans="1:6" ht="14.25">
      <c r="A49" s="330">
        <v>12</v>
      </c>
      <c r="B49" s="533"/>
      <c r="C49" s="3" t="s">
        <v>873</v>
      </c>
      <c r="D49" s="4" t="s">
        <v>608</v>
      </c>
      <c r="E49" s="120">
        <v>455.4</v>
      </c>
      <c r="F49" s="1" t="s">
        <v>613</v>
      </c>
    </row>
    <row r="50" spans="1:6" ht="14.25">
      <c r="A50" s="327">
        <v>13</v>
      </c>
      <c r="B50" s="555" t="s">
        <v>434</v>
      </c>
      <c r="C50" s="3" t="s">
        <v>454</v>
      </c>
      <c r="D50" s="1" t="s">
        <v>608</v>
      </c>
      <c r="E50" s="120">
        <v>645</v>
      </c>
      <c r="F50" s="1" t="s">
        <v>614</v>
      </c>
    </row>
    <row r="51" spans="1:6" ht="14.25">
      <c r="A51" s="330">
        <v>14</v>
      </c>
      <c r="B51" s="555"/>
      <c r="C51" s="3" t="s">
        <v>455</v>
      </c>
      <c r="D51" s="4" t="s">
        <v>608</v>
      </c>
      <c r="E51" s="122">
        <v>1000</v>
      </c>
      <c r="F51" s="1" t="s">
        <v>614</v>
      </c>
    </row>
    <row r="52" spans="1:6" ht="14.25">
      <c r="A52" s="328">
        <v>15</v>
      </c>
      <c r="B52" s="158" t="s">
        <v>449</v>
      </c>
      <c r="C52" s="39" t="s">
        <v>456</v>
      </c>
      <c r="D52" s="9" t="s">
        <v>608</v>
      </c>
      <c r="E52" s="116">
        <f>3900000/3500</f>
        <v>1114.2857142857142</v>
      </c>
      <c r="F52" s="9" t="s">
        <v>614</v>
      </c>
    </row>
    <row r="53" spans="1:6" ht="15">
      <c r="A53" s="330"/>
      <c r="B53" s="54"/>
      <c r="C53" s="309" t="s">
        <v>457</v>
      </c>
      <c r="D53" s="40"/>
      <c r="E53" s="179">
        <f>SUM(E38:E52)</f>
        <v>7653.324999999999</v>
      </c>
      <c r="F53" s="201"/>
    </row>
    <row r="55" spans="1:6" ht="15">
      <c r="A55" s="11"/>
      <c r="B55" s="591" t="s">
        <v>458</v>
      </c>
      <c r="C55" s="591"/>
      <c r="D55" s="29"/>
      <c r="E55" s="202"/>
      <c r="F55" s="10"/>
    </row>
    <row r="56" spans="1:6" ht="14.25">
      <c r="A56" s="325">
        <v>1</v>
      </c>
      <c r="B56" s="37" t="s">
        <v>403</v>
      </c>
      <c r="C56" s="18" t="s">
        <v>459</v>
      </c>
      <c r="D56" s="16" t="s">
        <v>405</v>
      </c>
      <c r="E56" s="114">
        <f>480000/3500</f>
        <v>137.14285714285714</v>
      </c>
      <c r="F56" s="16" t="s">
        <v>612</v>
      </c>
    </row>
    <row r="57" spans="1:6" ht="14.25">
      <c r="A57" s="333">
        <v>2</v>
      </c>
      <c r="B57" s="158" t="s">
        <v>409</v>
      </c>
      <c r="C57" s="39" t="s">
        <v>460</v>
      </c>
      <c r="D57" s="16" t="s">
        <v>405</v>
      </c>
      <c r="E57" s="281">
        <f>120000/3500</f>
        <v>34.285714285714285</v>
      </c>
      <c r="F57" s="9" t="s">
        <v>612</v>
      </c>
    </row>
    <row r="58" spans="1:6" ht="15">
      <c r="A58" s="334"/>
      <c r="B58" s="243"/>
      <c r="C58" s="335" t="s">
        <v>461</v>
      </c>
      <c r="D58" s="32"/>
      <c r="E58" s="179">
        <f>SUM(E56:E57)</f>
        <v>171.42857142857142</v>
      </c>
      <c r="F58" s="10"/>
    </row>
    <row r="60" spans="1:6" ht="15">
      <c r="A60" s="324"/>
      <c r="B60" s="573" t="s">
        <v>462</v>
      </c>
      <c r="C60" s="573"/>
      <c r="D60" s="45"/>
      <c r="E60" s="202"/>
      <c r="F60" s="10"/>
    </row>
    <row r="61" spans="1:6" ht="28.5">
      <c r="A61" s="327">
        <v>1</v>
      </c>
      <c r="B61" s="2" t="s">
        <v>411</v>
      </c>
      <c r="C61" s="6" t="s">
        <v>463</v>
      </c>
      <c r="D61" s="1" t="s">
        <v>605</v>
      </c>
      <c r="E61" s="120">
        <f>60/3.7</f>
        <v>16.216216216216214</v>
      </c>
      <c r="F61" s="1" t="s">
        <v>612</v>
      </c>
    </row>
    <row r="62" spans="1:6" ht="14.25">
      <c r="A62" s="327">
        <v>2</v>
      </c>
      <c r="B62" s="2" t="s">
        <v>399</v>
      </c>
      <c r="C62" s="6" t="s">
        <v>967</v>
      </c>
      <c r="D62" s="1" t="s">
        <v>605</v>
      </c>
      <c r="E62" s="120"/>
      <c r="F62" s="1" t="s">
        <v>612</v>
      </c>
    </row>
    <row r="63" spans="1:6" ht="15">
      <c r="A63" s="337"/>
      <c r="B63" s="243"/>
      <c r="C63" s="358" t="s">
        <v>464</v>
      </c>
      <c r="D63" s="47"/>
      <c r="E63" s="126">
        <f>SUM(E61)</f>
        <v>16.216216216216214</v>
      </c>
      <c r="F63" s="10"/>
    </row>
    <row r="64" spans="1:6" ht="15">
      <c r="A64" s="539"/>
      <c r="B64" s="243"/>
      <c r="C64" s="358"/>
      <c r="D64" s="47"/>
      <c r="E64" s="132"/>
      <c r="F64" s="10"/>
    </row>
    <row r="65" spans="1:6" ht="15">
      <c r="A65" s="324"/>
      <c r="B65" s="545" t="s">
        <v>691</v>
      </c>
      <c r="C65" s="545"/>
      <c r="D65" s="45"/>
      <c r="E65" s="202"/>
      <c r="F65" s="10"/>
    </row>
    <row r="66" spans="1:6" ht="14.25">
      <c r="A66" s="327">
        <v>1</v>
      </c>
      <c r="B66" s="2" t="s">
        <v>466</v>
      </c>
      <c r="C66" s="17" t="s">
        <v>467</v>
      </c>
      <c r="D66" s="1" t="s">
        <v>606</v>
      </c>
      <c r="E66" s="131">
        <f>2329500/3500</f>
        <v>665.5714285714286</v>
      </c>
      <c r="F66" s="1" t="s">
        <v>611</v>
      </c>
    </row>
    <row r="67" spans="1:6" ht="14.25">
      <c r="A67" s="327">
        <v>2</v>
      </c>
      <c r="B67" s="2" t="s">
        <v>466</v>
      </c>
      <c r="C67" s="17" t="s">
        <v>468</v>
      </c>
      <c r="D67" s="1" t="s">
        <v>606</v>
      </c>
      <c r="E67" s="120">
        <f>50000/3500</f>
        <v>14.285714285714286</v>
      </c>
      <c r="F67" s="1" t="s">
        <v>611</v>
      </c>
    </row>
    <row r="68" spans="1:6" ht="12.75">
      <c r="A68" s="589">
        <v>3</v>
      </c>
      <c r="B68" s="574" t="s">
        <v>466</v>
      </c>
      <c r="C68" s="574" t="s">
        <v>469</v>
      </c>
      <c r="D68" s="592" t="s">
        <v>606</v>
      </c>
      <c r="E68" s="593">
        <f>6000/3500</f>
        <v>1.7142857142857142</v>
      </c>
      <c r="F68" s="592" t="s">
        <v>611</v>
      </c>
    </row>
    <row r="69" spans="1:6" ht="12.75">
      <c r="A69" s="590"/>
      <c r="B69" s="590"/>
      <c r="C69" s="595"/>
      <c r="D69" s="590"/>
      <c r="E69" s="594"/>
      <c r="F69" s="590"/>
    </row>
    <row r="70" spans="1:6" ht="28.5">
      <c r="A70" s="327">
        <v>4</v>
      </c>
      <c r="B70" s="2" t="s">
        <v>466</v>
      </c>
      <c r="C70" s="17" t="s">
        <v>470</v>
      </c>
      <c r="D70" s="1" t="s">
        <v>605</v>
      </c>
      <c r="E70" s="120">
        <f>80000/3500</f>
        <v>22.857142857142858</v>
      </c>
      <c r="F70" s="1" t="s">
        <v>611</v>
      </c>
    </row>
    <row r="71" spans="1:6" ht="14.25">
      <c r="A71" s="327">
        <v>5</v>
      </c>
      <c r="B71" s="2" t="s">
        <v>466</v>
      </c>
      <c r="C71" s="17" t="s">
        <v>471</v>
      </c>
      <c r="D71" s="1" t="s">
        <v>605</v>
      </c>
      <c r="E71" s="120">
        <f>160000/3500</f>
        <v>45.714285714285715</v>
      </c>
      <c r="F71" s="1" t="s">
        <v>611</v>
      </c>
    </row>
    <row r="72" spans="1:6" ht="28.5">
      <c r="A72" s="327">
        <v>6</v>
      </c>
      <c r="B72" s="2" t="s">
        <v>466</v>
      </c>
      <c r="C72" s="17" t="s">
        <v>472</v>
      </c>
      <c r="D72" s="1" t="s">
        <v>605</v>
      </c>
      <c r="E72" s="120">
        <f>100000/3500</f>
        <v>28.571428571428573</v>
      </c>
      <c r="F72" s="1" t="s">
        <v>611</v>
      </c>
    </row>
    <row r="73" spans="1:6" ht="42.75">
      <c r="A73" s="327">
        <v>7</v>
      </c>
      <c r="B73" s="2" t="s">
        <v>401</v>
      </c>
      <c r="C73" s="8" t="s">
        <v>465</v>
      </c>
      <c r="D73" s="1" t="s">
        <v>605</v>
      </c>
      <c r="E73" s="131"/>
      <c r="F73" s="1" t="s">
        <v>611</v>
      </c>
    </row>
    <row r="74" spans="1:6" ht="15">
      <c r="A74" s="338"/>
      <c r="B74" s="54"/>
      <c r="C74" s="358" t="s">
        <v>703</v>
      </c>
      <c r="D74" s="40"/>
      <c r="E74" s="126">
        <f>SUM(E66:E73)</f>
        <v>778.7142857142857</v>
      </c>
      <c r="F74" s="201"/>
    </row>
    <row r="76" spans="1:6" ht="15">
      <c r="A76" s="11"/>
      <c r="B76" s="47" t="s">
        <v>192</v>
      </c>
      <c r="C76" s="29"/>
      <c r="D76" s="29"/>
      <c r="E76" s="202"/>
      <c r="F76" s="10"/>
    </row>
    <row r="77" spans="1:6" ht="14.25">
      <c r="A77" s="339">
        <v>1</v>
      </c>
      <c r="B77" s="42" t="s">
        <v>401</v>
      </c>
      <c r="C77" s="284" t="s">
        <v>944</v>
      </c>
      <c r="D77" s="82" t="s">
        <v>605</v>
      </c>
      <c r="E77" s="313"/>
      <c r="F77" s="41" t="s">
        <v>612</v>
      </c>
    </row>
    <row r="78" spans="1:6" ht="15">
      <c r="A78" s="340"/>
      <c r="B78" s="243"/>
      <c r="C78" s="228" t="s">
        <v>199</v>
      </c>
      <c r="D78" s="47"/>
      <c r="E78" s="126">
        <f>SUM(E17)</f>
        <v>0</v>
      </c>
      <c r="F78" s="10"/>
    </row>
    <row r="80" spans="1:6" ht="15">
      <c r="A80" s="324"/>
      <c r="B80" s="545" t="s">
        <v>160</v>
      </c>
      <c r="C80" s="545"/>
      <c r="D80" s="45"/>
      <c r="E80" s="202"/>
      <c r="F80" s="201"/>
    </row>
    <row r="81" spans="1:6" ht="28.5">
      <c r="A81" s="325">
        <v>1</v>
      </c>
      <c r="B81" s="35" t="s">
        <v>485</v>
      </c>
      <c r="C81" s="346" t="s">
        <v>486</v>
      </c>
      <c r="D81" s="46" t="s">
        <v>605</v>
      </c>
      <c r="E81" s="114">
        <v>13.243243243243244</v>
      </c>
      <c r="F81" s="16" t="s">
        <v>784</v>
      </c>
    </row>
    <row r="82" spans="1:6" ht="28.5">
      <c r="A82" s="327">
        <v>2</v>
      </c>
      <c r="B82" s="157" t="s">
        <v>411</v>
      </c>
      <c r="C82" s="100" t="s">
        <v>487</v>
      </c>
      <c r="D82" s="92" t="s">
        <v>605</v>
      </c>
      <c r="E82" s="120">
        <f>35000/3500</f>
        <v>10</v>
      </c>
      <c r="F82" s="1" t="s">
        <v>784</v>
      </c>
    </row>
    <row r="83" spans="1:6" ht="28.5">
      <c r="A83" s="327">
        <v>3</v>
      </c>
      <c r="B83" s="157" t="s">
        <v>401</v>
      </c>
      <c r="C83" s="100" t="s">
        <v>488</v>
      </c>
      <c r="D83" s="92" t="s">
        <v>605</v>
      </c>
      <c r="E83" s="120"/>
      <c r="F83" s="1" t="s">
        <v>784</v>
      </c>
    </row>
    <row r="84" spans="1:6" ht="14.25">
      <c r="A84" s="325">
        <v>4</v>
      </c>
      <c r="B84" s="157" t="s">
        <v>407</v>
      </c>
      <c r="C84" s="100" t="s">
        <v>489</v>
      </c>
      <c r="D84" s="92" t="s">
        <v>605</v>
      </c>
      <c r="E84" s="120"/>
      <c r="F84" s="1" t="s">
        <v>784</v>
      </c>
    </row>
    <row r="85" spans="1:6" ht="14.25">
      <c r="A85" s="327">
        <v>5</v>
      </c>
      <c r="B85" s="158" t="s">
        <v>403</v>
      </c>
      <c r="C85" s="347" t="s">
        <v>490</v>
      </c>
      <c r="D85" s="348" t="s">
        <v>605</v>
      </c>
      <c r="E85" s="288">
        <v>17142.85</v>
      </c>
      <c r="F85" s="9" t="s">
        <v>784</v>
      </c>
    </row>
    <row r="86" spans="1:6" ht="15">
      <c r="A86" s="337"/>
      <c r="B86" s="243"/>
      <c r="C86" s="358" t="s">
        <v>159</v>
      </c>
      <c r="D86" s="47"/>
      <c r="E86" s="126">
        <f>SUM(E81:E85)</f>
        <v>17166.093243243242</v>
      </c>
      <c r="F86" s="10"/>
    </row>
    <row r="87" spans="1:6" ht="15">
      <c r="A87" s="540"/>
      <c r="B87" s="406"/>
      <c r="C87" s="437"/>
      <c r="D87" s="541"/>
      <c r="E87" s="127"/>
      <c r="F87" s="107"/>
    </row>
    <row r="88" spans="1:6" ht="15">
      <c r="A88" s="324"/>
      <c r="B88" s="545" t="s">
        <v>161</v>
      </c>
      <c r="C88" s="545"/>
      <c r="D88" s="45"/>
      <c r="E88" s="202"/>
      <c r="F88" s="10"/>
    </row>
    <row r="89" spans="1:6" ht="28.5">
      <c r="A89" s="336">
        <v>1</v>
      </c>
      <c r="B89" s="42" t="s">
        <v>449</v>
      </c>
      <c r="C89" s="299" t="s">
        <v>491</v>
      </c>
      <c r="D89" s="41" t="s">
        <v>605</v>
      </c>
      <c r="E89" s="322"/>
      <c r="F89" s="41" t="s">
        <v>492</v>
      </c>
    </row>
    <row r="90" spans="1:6" ht="15">
      <c r="A90" s="338"/>
      <c r="B90" s="54"/>
      <c r="C90" s="358" t="s">
        <v>162</v>
      </c>
      <c r="D90" s="268"/>
      <c r="E90" s="126">
        <f>SUM(E89)</f>
        <v>0</v>
      </c>
      <c r="F90" s="201"/>
    </row>
    <row r="92" spans="1:6" ht="15" customHeight="1">
      <c r="A92" s="324"/>
      <c r="B92" s="545" t="s">
        <v>245</v>
      </c>
      <c r="C92" s="545"/>
      <c r="D92" s="45"/>
      <c r="E92" s="202"/>
      <c r="F92" s="10"/>
    </row>
    <row r="93" spans="1:6" ht="14.25">
      <c r="A93" s="329">
        <v>1</v>
      </c>
      <c r="B93" s="575" t="s">
        <v>449</v>
      </c>
      <c r="C93" s="18" t="s">
        <v>474</v>
      </c>
      <c r="D93" s="27" t="s">
        <v>451</v>
      </c>
      <c r="E93" s="326"/>
      <c r="F93" s="16" t="s">
        <v>614</v>
      </c>
    </row>
    <row r="94" spans="1:6" ht="28.5">
      <c r="A94" s="330">
        <v>2</v>
      </c>
      <c r="B94" s="533"/>
      <c r="C94" s="3" t="s">
        <v>475</v>
      </c>
      <c r="D94" s="345" t="s">
        <v>476</v>
      </c>
      <c r="E94" s="122">
        <f>475000/3500</f>
        <v>135.71428571428572</v>
      </c>
      <c r="F94" s="1" t="s">
        <v>614</v>
      </c>
    </row>
    <row r="95" spans="1:6" ht="14.25">
      <c r="A95" s="329">
        <v>3</v>
      </c>
      <c r="B95" s="533"/>
      <c r="C95" s="3" t="s">
        <v>477</v>
      </c>
      <c r="D95" s="1" t="s">
        <v>607</v>
      </c>
      <c r="E95" s="120">
        <f>831000/3500</f>
        <v>237.42857142857142</v>
      </c>
      <c r="F95" s="1" t="s">
        <v>614</v>
      </c>
    </row>
    <row r="96" spans="1:6" ht="14.25">
      <c r="A96" s="330">
        <v>4</v>
      </c>
      <c r="B96" s="533"/>
      <c r="C96" s="6" t="s">
        <v>478</v>
      </c>
      <c r="D96" s="1" t="s">
        <v>264</v>
      </c>
      <c r="E96" s="122">
        <f>150000/3500</f>
        <v>42.857142857142854</v>
      </c>
      <c r="F96" s="1" t="s">
        <v>614</v>
      </c>
    </row>
    <row r="97" spans="1:6" ht="14.25">
      <c r="A97" s="330">
        <v>5</v>
      </c>
      <c r="B97" s="569" t="s">
        <v>434</v>
      </c>
      <c r="C97" s="6" t="s">
        <v>480</v>
      </c>
      <c r="D97" s="1" t="s">
        <v>606</v>
      </c>
      <c r="E97" s="122">
        <v>1729.7297297297298</v>
      </c>
      <c r="F97" s="1" t="s">
        <v>614</v>
      </c>
    </row>
    <row r="98" spans="1:6" ht="28.5">
      <c r="A98" s="330">
        <v>6</v>
      </c>
      <c r="B98" s="535"/>
      <c r="C98" s="6" t="s">
        <v>481</v>
      </c>
      <c r="D98" s="9" t="s">
        <v>818</v>
      </c>
      <c r="E98" s="281">
        <f>2207822/3500</f>
        <v>630.8062857142858</v>
      </c>
      <c r="F98" s="9" t="s">
        <v>614</v>
      </c>
    </row>
    <row r="99" spans="1:6" ht="14.25">
      <c r="A99" s="329">
        <v>7</v>
      </c>
      <c r="B99" s="570"/>
      <c r="C99" s="3" t="s">
        <v>479</v>
      </c>
      <c r="D99" s="1" t="s">
        <v>608</v>
      </c>
      <c r="E99" s="120">
        <v>4000</v>
      </c>
      <c r="F99" s="1" t="s">
        <v>614</v>
      </c>
    </row>
    <row r="100" spans="1:6" ht="15">
      <c r="A100" s="340"/>
      <c r="B100" s="243"/>
      <c r="C100" s="358" t="s">
        <v>727</v>
      </c>
      <c r="D100" s="266"/>
      <c r="E100" s="126">
        <f>SUM(E93:E99)</f>
        <v>6776.536015444015</v>
      </c>
      <c r="F100" s="201"/>
    </row>
    <row r="101" spans="1:6" ht="15">
      <c r="A101" s="405"/>
      <c r="B101" s="406"/>
      <c r="C101" s="437"/>
      <c r="D101" s="407"/>
      <c r="E101" s="127"/>
      <c r="F101" s="215"/>
    </row>
    <row r="102" spans="1:6" ht="15">
      <c r="A102" s="324"/>
      <c r="B102" s="545" t="s">
        <v>248</v>
      </c>
      <c r="C102" s="545"/>
      <c r="D102" s="45"/>
      <c r="E102" s="202"/>
      <c r="F102" s="10"/>
    </row>
    <row r="103" spans="1:6" ht="28.5">
      <c r="A103" s="330">
        <v>1</v>
      </c>
      <c r="B103" s="555" t="s">
        <v>411</v>
      </c>
      <c r="C103" s="457" t="s">
        <v>482</v>
      </c>
      <c r="D103" s="14" t="s">
        <v>608</v>
      </c>
      <c r="E103" s="343">
        <f>100/3.7</f>
        <v>27.027027027027025</v>
      </c>
      <c r="F103" s="1" t="s">
        <v>612</v>
      </c>
    </row>
    <row r="104" spans="1:6" ht="14.25">
      <c r="A104" s="330">
        <v>2</v>
      </c>
      <c r="B104" s="555"/>
      <c r="C104" s="457" t="s">
        <v>483</v>
      </c>
      <c r="D104" s="14" t="s">
        <v>608</v>
      </c>
      <c r="E104" s="343">
        <f>15000/3500</f>
        <v>4.285714285714286</v>
      </c>
      <c r="F104" s="1" t="s">
        <v>612</v>
      </c>
    </row>
    <row r="105" spans="1:6" ht="15">
      <c r="A105" s="340"/>
      <c r="B105" s="243"/>
      <c r="C105" s="358" t="s">
        <v>484</v>
      </c>
      <c r="D105" s="266"/>
      <c r="E105" s="132">
        <f>SUM(E103:E104)</f>
        <v>31.31274131274131</v>
      </c>
      <c r="F105" s="201"/>
    </row>
    <row r="106" ht="15" thickBot="1"/>
    <row r="107" spans="1:6" ht="15.75" thickBot="1">
      <c r="A107" s="458">
        <f>A13+A34+A52+A57+A73+A77+A17+A99+A104+A85+A89</f>
        <v>65</v>
      </c>
      <c r="B107" s="425"/>
      <c r="C107" s="442" t="s">
        <v>928</v>
      </c>
      <c r="D107" s="422"/>
      <c r="E107" s="426">
        <f>SUM(E86+E105+E100+E18+E78+E74+E63+E58+E53+E35+E14)</f>
        <v>49500.34734247104</v>
      </c>
      <c r="F107" s="444"/>
    </row>
    <row r="109" spans="3:5" ht="15">
      <c r="C109" s="439" t="s">
        <v>866</v>
      </c>
      <c r="E109" s="387">
        <f>SUM(E98+E97+E96+E95+E94+E68+E67+E66+E57+E56+E41+E40+E39+E38+E27+E26+E25+E24+E23+E22+E21+E9+E8+E7+E6+E5+E4)</f>
        <v>13878.458056756757</v>
      </c>
    </row>
    <row r="110" spans="3:5" ht="15">
      <c r="C110" s="439" t="s">
        <v>922</v>
      </c>
      <c r="E110" s="387">
        <f>SUM(E107-E109)</f>
        <v>35621.88928571428</v>
      </c>
    </row>
  </sheetData>
  <mergeCells count="32">
    <mergeCell ref="B103:B104"/>
    <mergeCell ref="B80:C80"/>
    <mergeCell ref="B88:C88"/>
    <mergeCell ref="B102:C102"/>
    <mergeCell ref="B92:C92"/>
    <mergeCell ref="B93:B96"/>
    <mergeCell ref="B97:B99"/>
    <mergeCell ref="B39:B41"/>
    <mergeCell ref="D68:D69"/>
    <mergeCell ref="E68:E69"/>
    <mergeCell ref="F68:F69"/>
    <mergeCell ref="B65:C65"/>
    <mergeCell ref="C68:C69"/>
    <mergeCell ref="A68:A69"/>
    <mergeCell ref="B68:B69"/>
    <mergeCell ref="B42:B43"/>
    <mergeCell ref="B44:B45"/>
    <mergeCell ref="B46:B47"/>
    <mergeCell ref="B48:B49"/>
    <mergeCell ref="B50:B51"/>
    <mergeCell ref="B55:C55"/>
    <mergeCell ref="B60:C60"/>
    <mergeCell ref="B1:C1"/>
    <mergeCell ref="B3:C3"/>
    <mergeCell ref="B37:C37"/>
    <mergeCell ref="B20:C20"/>
    <mergeCell ref="B6:B7"/>
    <mergeCell ref="B10:B13"/>
    <mergeCell ref="B25:B27"/>
    <mergeCell ref="B29:B31"/>
    <mergeCell ref="B32:B34"/>
    <mergeCell ref="B16:C16"/>
  </mergeCells>
  <printOptions horizontalCentered="1"/>
  <pageMargins left="0" right="0" top="1.1811023622047245" bottom="0.7874015748031497" header="0.35433070866141736" footer="0.1968503937007874"/>
  <pageSetup firstPageNumber="174" useFirstPageNumber="1" horizontalDpi="600" verticalDpi="600" orientation="landscape" paperSize="9" r:id="rId2"/>
  <headerFooter alignWithMargins="0">
    <oddFooter>&amp;LPartea a IV-a&amp;R&amp;P</oddFooter>
  </headerFooter>
  <rowBreaks count="5" manualBreakCount="5">
    <brk id="22" max="5" man="1"/>
    <brk id="35" max="5" man="1"/>
    <brk id="58" max="5" man="1"/>
    <brk id="78" max="5" man="1"/>
    <brk id="100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47"/>
  <sheetViews>
    <sheetView view="pageBreakPreview" zoomScaleNormal="60" zoomScaleSheetLayoutView="100" workbookViewId="0" topLeftCell="A125">
      <selection activeCell="C134" sqref="C134"/>
    </sheetView>
  </sheetViews>
  <sheetFormatPr defaultColWidth="9.140625" defaultRowHeight="12.75"/>
  <cols>
    <col min="1" max="1" width="4.7109375" style="21" customWidth="1"/>
    <col min="2" max="2" width="23.28125" style="212" customWidth="1"/>
    <col min="3" max="3" width="57.57421875" style="384" customWidth="1"/>
    <col min="4" max="4" width="14.7109375" style="25" customWidth="1"/>
    <col min="5" max="5" width="14.8515625" style="111" customWidth="1"/>
    <col min="6" max="6" width="24.00390625" style="24" customWidth="1"/>
  </cols>
  <sheetData>
    <row r="1" spans="2:5" ht="15">
      <c r="B1" s="567" t="s">
        <v>493</v>
      </c>
      <c r="C1" s="567"/>
      <c r="E1" s="138"/>
    </row>
    <row r="2" spans="1:6" ht="45">
      <c r="A2" s="108" t="s">
        <v>602</v>
      </c>
      <c r="B2" s="108" t="s">
        <v>603</v>
      </c>
      <c r="C2" s="108" t="s">
        <v>616</v>
      </c>
      <c r="D2" s="222" t="s">
        <v>604</v>
      </c>
      <c r="E2" s="207" t="s">
        <v>615</v>
      </c>
      <c r="F2" s="108" t="s">
        <v>617</v>
      </c>
    </row>
    <row r="3" spans="1:6" ht="15">
      <c r="A3" s="11"/>
      <c r="B3" s="545" t="s">
        <v>316</v>
      </c>
      <c r="C3" s="545"/>
      <c r="D3" s="29"/>
      <c r="E3" s="202"/>
      <c r="F3" s="10"/>
    </row>
    <row r="4" spans="1:6" ht="14.25">
      <c r="A4" s="16">
        <v>1</v>
      </c>
      <c r="B4" s="344" t="s">
        <v>494</v>
      </c>
      <c r="C4" s="18" t="s">
        <v>495</v>
      </c>
      <c r="D4" s="16" t="s">
        <v>606</v>
      </c>
      <c r="E4" s="114">
        <f>1300/3500</f>
        <v>0.37142857142857144</v>
      </c>
      <c r="F4" s="285" t="s">
        <v>612</v>
      </c>
    </row>
    <row r="5" spans="1:6" ht="14.25">
      <c r="A5" s="1">
        <v>2</v>
      </c>
      <c r="B5" s="2" t="s">
        <v>15</v>
      </c>
      <c r="C5" s="3" t="s">
        <v>16</v>
      </c>
      <c r="D5" s="1" t="s">
        <v>606</v>
      </c>
      <c r="E5" s="122">
        <v>945.9459459459459</v>
      </c>
      <c r="F5" s="20" t="s">
        <v>612</v>
      </c>
    </row>
    <row r="6" spans="1:6" ht="28.5">
      <c r="A6" s="1">
        <v>3</v>
      </c>
      <c r="B6" s="2" t="s">
        <v>496</v>
      </c>
      <c r="C6" s="6" t="s">
        <v>497</v>
      </c>
      <c r="D6" s="1" t="s">
        <v>606</v>
      </c>
      <c r="E6" s="122">
        <v>24.324324324324323</v>
      </c>
      <c r="F6" s="20" t="s">
        <v>612</v>
      </c>
    </row>
    <row r="7" spans="1:6" ht="14.25">
      <c r="A7" s="1">
        <v>4</v>
      </c>
      <c r="B7" s="3" t="s">
        <v>498</v>
      </c>
      <c r="C7" s="3" t="s">
        <v>499</v>
      </c>
      <c r="D7" s="1" t="s">
        <v>606</v>
      </c>
      <c r="E7" s="120">
        <f>7000000/3700</f>
        <v>1891.8918918918919</v>
      </c>
      <c r="F7" s="20" t="s">
        <v>612</v>
      </c>
    </row>
    <row r="8" spans="1:6" ht="14.25">
      <c r="A8" s="16">
        <v>5</v>
      </c>
      <c r="B8" s="533" t="s">
        <v>500</v>
      </c>
      <c r="C8" s="6" t="s">
        <v>501</v>
      </c>
      <c r="D8" s="1" t="s">
        <v>606</v>
      </c>
      <c r="E8" s="122">
        <v>81.08108108108108</v>
      </c>
      <c r="F8" s="20" t="s">
        <v>612</v>
      </c>
    </row>
    <row r="9" spans="1:6" ht="14.25">
      <c r="A9" s="1">
        <v>6</v>
      </c>
      <c r="B9" s="533"/>
      <c r="C9" s="6" t="s">
        <v>502</v>
      </c>
      <c r="D9" s="1" t="s">
        <v>606</v>
      </c>
      <c r="E9" s="122">
        <v>324.3243243243243</v>
      </c>
      <c r="F9" s="20" t="s">
        <v>612</v>
      </c>
    </row>
    <row r="10" spans="1:6" ht="14.25">
      <c r="A10" s="16">
        <v>7</v>
      </c>
      <c r="B10" s="3" t="s">
        <v>500</v>
      </c>
      <c r="C10" s="3" t="s">
        <v>503</v>
      </c>
      <c r="D10" s="1" t="s">
        <v>606</v>
      </c>
      <c r="E10" s="120">
        <v>315.53211</v>
      </c>
      <c r="F10" s="20" t="s">
        <v>612</v>
      </c>
    </row>
    <row r="11" spans="1:6" ht="14.25">
      <c r="A11" s="16">
        <v>8</v>
      </c>
      <c r="B11" s="533" t="s">
        <v>504</v>
      </c>
      <c r="C11" s="6" t="s">
        <v>923</v>
      </c>
      <c r="D11" s="1" t="s">
        <v>606</v>
      </c>
      <c r="E11" s="122">
        <v>1046.43</v>
      </c>
      <c r="F11" s="20" t="s">
        <v>612</v>
      </c>
    </row>
    <row r="12" spans="1:6" ht="14.25">
      <c r="A12" s="1">
        <v>9</v>
      </c>
      <c r="B12" s="533"/>
      <c r="C12" s="3" t="s">
        <v>505</v>
      </c>
      <c r="D12" s="1" t="s">
        <v>606</v>
      </c>
      <c r="E12" s="122">
        <f>16868565/35000</f>
        <v>481.959</v>
      </c>
      <c r="F12" s="20" t="s">
        <v>612</v>
      </c>
    </row>
    <row r="13" spans="1:6" ht="14.25">
      <c r="A13" s="16">
        <v>10</v>
      </c>
      <c r="B13" s="2" t="s">
        <v>506</v>
      </c>
      <c r="C13" s="6" t="s">
        <v>507</v>
      </c>
      <c r="D13" s="1" t="s">
        <v>606</v>
      </c>
      <c r="E13" s="122">
        <v>189.1891891891892</v>
      </c>
      <c r="F13" s="20" t="s">
        <v>612</v>
      </c>
    </row>
    <row r="14" spans="1:6" ht="14.25">
      <c r="A14" s="16">
        <v>11</v>
      </c>
      <c r="B14" s="160" t="s">
        <v>494</v>
      </c>
      <c r="C14" s="3" t="s">
        <v>499</v>
      </c>
      <c r="D14" s="4" t="s">
        <v>605</v>
      </c>
      <c r="E14" s="122">
        <f>30000/3500</f>
        <v>8.571428571428571</v>
      </c>
      <c r="F14" s="20" t="s">
        <v>612</v>
      </c>
    </row>
    <row r="15" spans="1:6" ht="42.75">
      <c r="A15" s="16">
        <v>12</v>
      </c>
      <c r="B15" s="160" t="s">
        <v>508</v>
      </c>
      <c r="C15" s="3" t="s">
        <v>509</v>
      </c>
      <c r="D15" s="4" t="s">
        <v>605</v>
      </c>
      <c r="E15" s="122"/>
      <c r="F15" s="20" t="s">
        <v>612</v>
      </c>
    </row>
    <row r="16" spans="1:6" ht="14.25">
      <c r="A16" s="16">
        <v>13</v>
      </c>
      <c r="B16" s="555" t="s">
        <v>510</v>
      </c>
      <c r="C16" s="3" t="s">
        <v>511</v>
      </c>
      <c r="D16" s="4" t="s">
        <v>605</v>
      </c>
      <c r="E16" s="122">
        <f>1000000/3500</f>
        <v>285.7142857142857</v>
      </c>
      <c r="F16" s="20" t="s">
        <v>612</v>
      </c>
    </row>
    <row r="17" spans="1:6" ht="14.25">
      <c r="A17" s="9">
        <v>14</v>
      </c>
      <c r="B17" s="530"/>
      <c r="C17" s="39" t="s">
        <v>518</v>
      </c>
      <c r="D17" s="26" t="s">
        <v>605</v>
      </c>
      <c r="E17" s="281">
        <f>400000/3500</f>
        <v>114.28571428571429</v>
      </c>
      <c r="F17" s="271" t="s">
        <v>612</v>
      </c>
    </row>
    <row r="18" spans="1:6" ht="15">
      <c r="A18" s="349"/>
      <c r="B18" s="243"/>
      <c r="C18" s="309" t="s">
        <v>519</v>
      </c>
      <c r="D18" s="32"/>
      <c r="E18" s="179">
        <f>SUM(E4:E17)</f>
        <v>5709.620723899614</v>
      </c>
      <c r="F18" s="143"/>
    </row>
    <row r="19" spans="1:6" ht="15">
      <c r="A19" s="542"/>
      <c r="B19" s="406"/>
      <c r="C19" s="537"/>
      <c r="D19" s="542"/>
      <c r="E19" s="538"/>
      <c r="F19" s="541"/>
    </row>
    <row r="20" spans="1:6" ht="15">
      <c r="A20" s="12"/>
      <c r="B20" s="545" t="s">
        <v>132</v>
      </c>
      <c r="C20" s="545"/>
      <c r="D20" s="29"/>
      <c r="E20" s="202"/>
      <c r="F20" s="10"/>
    </row>
    <row r="21" spans="1:6" ht="14.25">
      <c r="A21" s="41">
        <v>1</v>
      </c>
      <c r="B21" s="42" t="s">
        <v>494</v>
      </c>
      <c r="C21" s="42" t="s">
        <v>590</v>
      </c>
      <c r="D21" s="41" t="s">
        <v>605</v>
      </c>
      <c r="E21" s="134">
        <f>300/3500</f>
        <v>0.08571428571428572</v>
      </c>
      <c r="F21" s="41" t="s">
        <v>612</v>
      </c>
    </row>
    <row r="22" spans="1:6" ht="15">
      <c r="A22" s="290"/>
      <c r="B22" s="53"/>
      <c r="C22" s="358" t="s">
        <v>133</v>
      </c>
      <c r="D22" s="266"/>
      <c r="E22" s="126">
        <f>SUM(E21:E21)</f>
        <v>0.08571428571428572</v>
      </c>
      <c r="F22" s="10"/>
    </row>
    <row r="23" spans="2:6" ht="14.25">
      <c r="B23" s="22"/>
      <c r="D23" s="21"/>
      <c r="E23" s="138"/>
      <c r="F23" s="19"/>
    </row>
    <row r="24" spans="1:6" ht="15">
      <c r="A24" s="11"/>
      <c r="B24" s="545" t="s">
        <v>341</v>
      </c>
      <c r="C24" s="545"/>
      <c r="D24" s="29"/>
      <c r="E24" s="202"/>
      <c r="F24" s="10"/>
    </row>
    <row r="25" spans="1:6" ht="28.5">
      <c r="A25" s="27">
        <v>1</v>
      </c>
      <c r="B25" s="52" t="s">
        <v>520</v>
      </c>
      <c r="C25" s="350" t="s">
        <v>521</v>
      </c>
      <c r="D25" s="351" t="s">
        <v>606</v>
      </c>
      <c r="E25" s="352">
        <v>1235</v>
      </c>
      <c r="F25" s="27" t="s">
        <v>613</v>
      </c>
    </row>
    <row r="26" spans="1:6" ht="28.5">
      <c r="A26" s="4">
        <v>2</v>
      </c>
      <c r="B26" s="3" t="s">
        <v>522</v>
      </c>
      <c r="C26" s="3" t="s">
        <v>523</v>
      </c>
      <c r="D26" s="1" t="s">
        <v>606</v>
      </c>
      <c r="E26" s="120">
        <v>300</v>
      </c>
      <c r="F26" s="4" t="s">
        <v>613</v>
      </c>
    </row>
    <row r="27" spans="1:6" ht="28.5">
      <c r="A27" s="4">
        <v>3</v>
      </c>
      <c r="B27" s="3" t="s">
        <v>524</v>
      </c>
      <c r="C27" s="3" t="s">
        <v>525</v>
      </c>
      <c r="D27" s="1" t="s">
        <v>818</v>
      </c>
      <c r="E27" s="120">
        <v>683</v>
      </c>
      <c r="F27" s="4" t="s">
        <v>613</v>
      </c>
    </row>
    <row r="28" spans="1:6" ht="14.25">
      <c r="A28" s="27">
        <v>4</v>
      </c>
      <c r="B28" s="3" t="s">
        <v>526</v>
      </c>
      <c r="C28" s="6" t="s">
        <v>527</v>
      </c>
      <c r="D28" s="1" t="s">
        <v>606</v>
      </c>
      <c r="E28" s="120">
        <v>1000</v>
      </c>
      <c r="F28" s="4" t="s">
        <v>613</v>
      </c>
    </row>
    <row r="29" spans="1:6" ht="28.5">
      <c r="A29" s="27">
        <v>5</v>
      </c>
      <c r="B29" s="574" t="s">
        <v>528</v>
      </c>
      <c r="C29" s="3" t="s">
        <v>529</v>
      </c>
      <c r="D29" s="4" t="s">
        <v>607</v>
      </c>
      <c r="E29" s="120">
        <f>1000000/3500</f>
        <v>285.7142857142857</v>
      </c>
      <c r="F29" s="1" t="s">
        <v>613</v>
      </c>
    </row>
    <row r="30" spans="1:6" ht="42.75">
      <c r="A30" s="4">
        <v>6</v>
      </c>
      <c r="B30" s="575"/>
      <c r="C30" s="3" t="s">
        <v>530</v>
      </c>
      <c r="D30" s="1" t="s">
        <v>818</v>
      </c>
      <c r="E30" s="120">
        <f>4000000/3500</f>
        <v>1142.857142857143</v>
      </c>
      <c r="F30" s="1" t="s">
        <v>613</v>
      </c>
    </row>
    <row r="31" spans="1:6" ht="14.25">
      <c r="A31" s="27">
        <v>7</v>
      </c>
      <c r="B31" s="3" t="s">
        <v>504</v>
      </c>
      <c r="C31" s="2" t="s">
        <v>531</v>
      </c>
      <c r="D31" s="1" t="s">
        <v>606</v>
      </c>
      <c r="E31" s="120">
        <v>325</v>
      </c>
      <c r="F31" s="4" t="s">
        <v>613</v>
      </c>
    </row>
    <row r="32" spans="1:6" ht="14.25">
      <c r="A32" s="4">
        <v>8</v>
      </c>
      <c r="B32" s="3" t="s">
        <v>510</v>
      </c>
      <c r="C32" s="6" t="s">
        <v>532</v>
      </c>
      <c r="D32" s="1" t="s">
        <v>606</v>
      </c>
      <c r="E32" s="120">
        <v>678</v>
      </c>
      <c r="F32" s="4" t="s">
        <v>613</v>
      </c>
    </row>
    <row r="33" spans="1:6" ht="14.25">
      <c r="A33" s="27">
        <v>9</v>
      </c>
      <c r="B33" s="235" t="s">
        <v>494</v>
      </c>
      <c r="C33" s="3" t="s">
        <v>534</v>
      </c>
      <c r="D33" s="12" t="s">
        <v>608</v>
      </c>
      <c r="E33" s="120">
        <f>36000/3500</f>
        <v>10.285714285714286</v>
      </c>
      <c r="F33" s="14" t="s">
        <v>613</v>
      </c>
    </row>
    <row r="34" spans="1:6" ht="14.25">
      <c r="A34" s="4">
        <v>10</v>
      </c>
      <c r="B34" s="3" t="s">
        <v>83</v>
      </c>
      <c r="C34" s="6" t="s">
        <v>84</v>
      </c>
      <c r="D34" s="12" t="s">
        <v>608</v>
      </c>
      <c r="E34" s="120"/>
      <c r="F34" s="14" t="s">
        <v>613</v>
      </c>
    </row>
    <row r="35" spans="1:6" ht="14.25">
      <c r="A35" s="4">
        <v>11</v>
      </c>
      <c r="B35" s="209" t="s">
        <v>508</v>
      </c>
      <c r="C35" s="233" t="s">
        <v>535</v>
      </c>
      <c r="D35" s="12" t="s">
        <v>608</v>
      </c>
      <c r="E35" s="306"/>
      <c r="F35" s="14" t="s">
        <v>613</v>
      </c>
    </row>
    <row r="36" spans="1:6" ht="28.5">
      <c r="A36" s="27">
        <v>12</v>
      </c>
      <c r="B36" s="235" t="s">
        <v>536</v>
      </c>
      <c r="C36" s="6" t="s">
        <v>537</v>
      </c>
      <c r="D36" s="12" t="s">
        <v>608</v>
      </c>
      <c r="E36" s="120"/>
      <c r="F36" s="14" t="s">
        <v>613</v>
      </c>
    </row>
    <row r="37" spans="1:6" ht="14.25">
      <c r="A37" s="27">
        <v>13</v>
      </c>
      <c r="B37" s="235" t="s">
        <v>500</v>
      </c>
      <c r="C37" s="3" t="s">
        <v>538</v>
      </c>
      <c r="D37" s="12" t="s">
        <v>608</v>
      </c>
      <c r="E37" s="120"/>
      <c r="F37" s="14" t="s">
        <v>613</v>
      </c>
    </row>
    <row r="38" spans="1:6" ht="14.25">
      <c r="A38" s="4">
        <v>14</v>
      </c>
      <c r="B38" s="235" t="s">
        <v>539</v>
      </c>
      <c r="C38" s="2" t="s">
        <v>540</v>
      </c>
      <c r="D38" s="12" t="s">
        <v>608</v>
      </c>
      <c r="E38" s="120"/>
      <c r="F38" s="14" t="s">
        <v>613</v>
      </c>
    </row>
    <row r="39" spans="1:6" ht="14.25">
      <c r="A39" s="49">
        <v>15</v>
      </c>
      <c r="B39" s="229" t="s">
        <v>506</v>
      </c>
      <c r="C39" s="33" t="s">
        <v>541</v>
      </c>
      <c r="D39" s="34" t="s">
        <v>608</v>
      </c>
      <c r="E39" s="116">
        <v>278</v>
      </c>
      <c r="F39" s="36" t="s">
        <v>613</v>
      </c>
    </row>
    <row r="40" spans="1:6" ht="15">
      <c r="A40" s="283"/>
      <c r="B40" s="174"/>
      <c r="C40" s="309" t="s">
        <v>357</v>
      </c>
      <c r="D40" s="40"/>
      <c r="E40" s="179">
        <f>SUM(E25:E39)</f>
        <v>5937.857142857143</v>
      </c>
      <c r="F40" s="376"/>
    </row>
    <row r="41" spans="1:6" ht="15">
      <c r="A41" s="174"/>
      <c r="B41" s="174"/>
      <c r="C41" s="309"/>
      <c r="D41" s="40"/>
      <c r="E41" s="353"/>
      <c r="F41" s="268"/>
    </row>
    <row r="42" spans="1:6" ht="15">
      <c r="A42" s="11"/>
      <c r="B42" s="545" t="s">
        <v>447</v>
      </c>
      <c r="C42" s="545"/>
      <c r="D42" s="29"/>
      <c r="E42" s="202"/>
      <c r="F42" s="10"/>
    </row>
    <row r="43" spans="1:6" ht="14.25">
      <c r="A43" s="16">
        <v>1</v>
      </c>
      <c r="B43" s="37" t="s">
        <v>494</v>
      </c>
      <c r="C43" s="18" t="s">
        <v>542</v>
      </c>
      <c r="D43" s="16" t="s">
        <v>606</v>
      </c>
      <c r="E43" s="114">
        <v>2056</v>
      </c>
      <c r="F43" s="38" t="s">
        <v>613</v>
      </c>
    </row>
    <row r="44" spans="1:6" ht="14.25">
      <c r="A44" s="1">
        <v>2</v>
      </c>
      <c r="B44" s="2" t="s">
        <v>498</v>
      </c>
      <c r="C44" s="3" t="s">
        <v>543</v>
      </c>
      <c r="D44" s="1" t="s">
        <v>606</v>
      </c>
      <c r="E44" s="122">
        <v>1200</v>
      </c>
      <c r="F44" s="14" t="s">
        <v>613</v>
      </c>
    </row>
    <row r="45" spans="1:6" ht="28.5">
      <c r="A45" s="4">
        <v>3</v>
      </c>
      <c r="B45" s="5" t="s">
        <v>528</v>
      </c>
      <c r="C45" s="3" t="s">
        <v>544</v>
      </c>
      <c r="D45" s="4" t="s">
        <v>606</v>
      </c>
      <c r="E45" s="120">
        <v>1285.71</v>
      </c>
      <c r="F45" s="1" t="s">
        <v>613</v>
      </c>
    </row>
    <row r="46" spans="1:6" ht="28.5">
      <c r="A46" s="16">
        <v>4</v>
      </c>
      <c r="B46" s="3" t="s">
        <v>520</v>
      </c>
      <c r="C46" s="3" t="s">
        <v>545</v>
      </c>
      <c r="D46" s="4" t="s">
        <v>608</v>
      </c>
      <c r="E46" s="120"/>
      <c r="F46" s="14" t="s">
        <v>613</v>
      </c>
    </row>
    <row r="47" spans="1:6" ht="28.5">
      <c r="A47" s="1">
        <v>5</v>
      </c>
      <c r="B47" s="3" t="s">
        <v>522</v>
      </c>
      <c r="C47" s="3" t="s">
        <v>546</v>
      </c>
      <c r="D47" s="4" t="s">
        <v>608</v>
      </c>
      <c r="E47" s="120"/>
      <c r="F47" s="14" t="s">
        <v>613</v>
      </c>
    </row>
    <row r="48" spans="1:6" ht="14.25">
      <c r="A48" s="16">
        <v>6</v>
      </c>
      <c r="B48" s="533" t="s">
        <v>83</v>
      </c>
      <c r="C48" s="3" t="s">
        <v>872</v>
      </c>
      <c r="D48" s="4" t="s">
        <v>608</v>
      </c>
      <c r="E48" s="120">
        <v>283.35</v>
      </c>
      <c r="F48" s="14" t="s">
        <v>613</v>
      </c>
    </row>
    <row r="49" spans="1:6" ht="14.25">
      <c r="A49" s="1">
        <v>7</v>
      </c>
      <c r="B49" s="533"/>
      <c r="C49" s="3" t="s">
        <v>873</v>
      </c>
      <c r="D49" s="4" t="s">
        <v>608</v>
      </c>
      <c r="E49" s="120">
        <v>680.04</v>
      </c>
      <c r="F49" s="14" t="s">
        <v>613</v>
      </c>
    </row>
    <row r="50" spans="1:6" ht="28.5">
      <c r="A50" s="16">
        <v>8</v>
      </c>
      <c r="B50" s="3" t="s">
        <v>547</v>
      </c>
      <c r="C50" s="3" t="s">
        <v>548</v>
      </c>
      <c r="D50" s="4" t="s">
        <v>608</v>
      </c>
      <c r="E50" s="120"/>
      <c r="F50" s="14" t="s">
        <v>613</v>
      </c>
    </row>
    <row r="51" spans="1:6" ht="14.25">
      <c r="A51" s="1">
        <v>9</v>
      </c>
      <c r="B51" s="6" t="s">
        <v>508</v>
      </c>
      <c r="C51" s="3" t="s">
        <v>549</v>
      </c>
      <c r="D51" s="4" t="s">
        <v>608</v>
      </c>
      <c r="E51" s="122"/>
      <c r="F51" s="14" t="s">
        <v>613</v>
      </c>
    </row>
    <row r="52" spans="1:6" ht="57">
      <c r="A52" s="16">
        <v>10</v>
      </c>
      <c r="B52" s="533" t="s">
        <v>536</v>
      </c>
      <c r="C52" s="3" t="s">
        <v>550</v>
      </c>
      <c r="D52" s="4" t="s">
        <v>608</v>
      </c>
      <c r="E52" s="122"/>
      <c r="F52" s="4" t="s">
        <v>613</v>
      </c>
    </row>
    <row r="53" spans="1:6" ht="14.25">
      <c r="A53" s="1">
        <v>11</v>
      </c>
      <c r="B53" s="533"/>
      <c r="C53" s="3" t="s">
        <v>872</v>
      </c>
      <c r="D53" s="4" t="s">
        <v>608</v>
      </c>
      <c r="E53" s="120">
        <v>190.35</v>
      </c>
      <c r="F53" s="14" t="s">
        <v>613</v>
      </c>
    </row>
    <row r="54" spans="1:6" ht="14.25">
      <c r="A54" s="4">
        <v>12</v>
      </c>
      <c r="B54" s="533"/>
      <c r="C54" s="3" t="s">
        <v>873</v>
      </c>
      <c r="D54" s="4" t="s">
        <v>608</v>
      </c>
      <c r="E54" s="120">
        <v>456.84</v>
      </c>
      <c r="F54" s="14" t="s">
        <v>613</v>
      </c>
    </row>
    <row r="55" spans="1:6" ht="14.25">
      <c r="A55" s="16">
        <v>13</v>
      </c>
      <c r="B55" s="574" t="s">
        <v>528</v>
      </c>
      <c r="C55" s="3" t="s">
        <v>610</v>
      </c>
      <c r="D55" s="4" t="s">
        <v>608</v>
      </c>
      <c r="E55" s="120">
        <v>988.32</v>
      </c>
      <c r="F55" s="1" t="s">
        <v>613</v>
      </c>
    </row>
    <row r="56" spans="1:6" ht="14.25">
      <c r="A56" s="1">
        <v>14</v>
      </c>
      <c r="B56" s="575"/>
      <c r="C56" s="3" t="s">
        <v>609</v>
      </c>
      <c r="D56" s="4" t="s">
        <v>608</v>
      </c>
      <c r="E56" s="120">
        <v>1317.76</v>
      </c>
      <c r="F56" s="1" t="s">
        <v>613</v>
      </c>
    </row>
    <row r="57" spans="1:6" ht="14.25">
      <c r="A57" s="16">
        <v>15</v>
      </c>
      <c r="B57" s="533" t="s">
        <v>500</v>
      </c>
      <c r="C57" s="3" t="s">
        <v>872</v>
      </c>
      <c r="D57" s="4" t="s">
        <v>608</v>
      </c>
      <c r="E57" s="120">
        <v>239.4</v>
      </c>
      <c r="F57" s="14" t="s">
        <v>613</v>
      </c>
    </row>
    <row r="58" spans="1:6" ht="14.25">
      <c r="A58" s="1">
        <v>16</v>
      </c>
      <c r="B58" s="533"/>
      <c r="C58" s="3" t="s">
        <v>873</v>
      </c>
      <c r="D58" s="4" t="s">
        <v>608</v>
      </c>
      <c r="E58" s="120">
        <v>574.56</v>
      </c>
      <c r="F58" s="14" t="s">
        <v>613</v>
      </c>
    </row>
    <row r="59" spans="1:6" ht="14.25">
      <c r="A59" s="16">
        <v>17</v>
      </c>
      <c r="B59" s="533" t="s">
        <v>539</v>
      </c>
      <c r="C59" s="3" t="s">
        <v>872</v>
      </c>
      <c r="D59" s="4" t="s">
        <v>608</v>
      </c>
      <c r="E59" s="120">
        <v>158.7</v>
      </c>
      <c r="F59" s="14" t="s">
        <v>613</v>
      </c>
    </row>
    <row r="60" spans="1:6" ht="14.25">
      <c r="A60" s="1">
        <v>18</v>
      </c>
      <c r="B60" s="533"/>
      <c r="C60" s="3" t="s">
        <v>873</v>
      </c>
      <c r="D60" s="4" t="s">
        <v>608</v>
      </c>
      <c r="E60" s="120">
        <v>380.88</v>
      </c>
      <c r="F60" s="14" t="s">
        <v>613</v>
      </c>
    </row>
    <row r="61" spans="1:6" ht="28.5">
      <c r="A61" s="16">
        <v>19</v>
      </c>
      <c r="B61" s="2" t="s">
        <v>504</v>
      </c>
      <c r="C61" s="3" t="s">
        <v>968</v>
      </c>
      <c r="D61" s="4" t="s">
        <v>608</v>
      </c>
      <c r="E61" s="120"/>
      <c r="F61" s="14" t="s">
        <v>613</v>
      </c>
    </row>
    <row r="62" spans="1:6" ht="14.25">
      <c r="A62" s="16">
        <v>20</v>
      </c>
      <c r="B62" s="533" t="s">
        <v>510</v>
      </c>
      <c r="C62" s="3" t="s">
        <v>872</v>
      </c>
      <c r="D62" s="4" t="s">
        <v>608</v>
      </c>
      <c r="E62" s="120">
        <v>253.425</v>
      </c>
      <c r="F62" s="14" t="s">
        <v>613</v>
      </c>
    </row>
    <row r="63" spans="1:6" ht="14.25">
      <c r="A63" s="1">
        <v>21</v>
      </c>
      <c r="B63" s="533"/>
      <c r="C63" s="3" t="s">
        <v>873</v>
      </c>
      <c r="D63" s="4" t="s">
        <v>608</v>
      </c>
      <c r="E63" s="120">
        <v>608.22</v>
      </c>
      <c r="F63" s="14" t="s">
        <v>613</v>
      </c>
    </row>
    <row r="64" spans="1:6" ht="14.25">
      <c r="A64" s="16">
        <v>22</v>
      </c>
      <c r="B64" s="533" t="s">
        <v>506</v>
      </c>
      <c r="C64" s="3" t="s">
        <v>872</v>
      </c>
      <c r="D64" s="4" t="s">
        <v>608</v>
      </c>
      <c r="E64" s="120">
        <v>263.25</v>
      </c>
      <c r="F64" s="14" t="s">
        <v>613</v>
      </c>
    </row>
    <row r="65" spans="1:6" ht="14.25">
      <c r="A65" s="16">
        <v>23</v>
      </c>
      <c r="B65" s="533"/>
      <c r="C65" s="3" t="s">
        <v>873</v>
      </c>
      <c r="D65" s="4" t="s">
        <v>608</v>
      </c>
      <c r="E65" s="120">
        <v>631.8</v>
      </c>
      <c r="F65" s="14" t="s">
        <v>613</v>
      </c>
    </row>
    <row r="66" spans="1:6" ht="15">
      <c r="A66" s="178"/>
      <c r="B66" s="174"/>
      <c r="C66" s="309" t="s">
        <v>551</v>
      </c>
      <c r="D66" s="40"/>
      <c r="E66" s="179">
        <f>SUM(E43:E65)</f>
        <v>11568.604999999998</v>
      </c>
      <c r="F66" s="376"/>
    </row>
    <row r="67" spans="1:6" ht="15">
      <c r="A67" s="40"/>
      <c r="B67" s="174"/>
      <c r="C67" s="309"/>
      <c r="D67" s="40"/>
      <c r="E67" s="353"/>
      <c r="F67" s="268"/>
    </row>
    <row r="68" spans="1:6" ht="15">
      <c r="A68" s="150"/>
      <c r="B68" s="536" t="s">
        <v>552</v>
      </c>
      <c r="C68" s="536"/>
      <c r="D68" s="176"/>
      <c r="E68" s="305"/>
      <c r="F68" s="147"/>
    </row>
    <row r="69" spans="1:6" ht="28.5">
      <c r="A69" s="49">
        <v>1</v>
      </c>
      <c r="B69" s="42" t="s">
        <v>498</v>
      </c>
      <c r="C69" s="48" t="s">
        <v>553</v>
      </c>
      <c r="D69" s="41" t="s">
        <v>56</v>
      </c>
      <c r="E69" s="320">
        <v>10.8108108108108</v>
      </c>
      <c r="F69" s="182" t="s">
        <v>368</v>
      </c>
    </row>
    <row r="70" spans="1:6" ht="15">
      <c r="A70" s="183"/>
      <c r="B70" s="354"/>
      <c r="C70" s="357" t="s">
        <v>554</v>
      </c>
      <c r="D70" s="90"/>
      <c r="E70" s="184">
        <f>SUM(E69)</f>
        <v>10.8108108108108</v>
      </c>
      <c r="F70" s="185"/>
    </row>
    <row r="71" spans="1:6" ht="15">
      <c r="A71" s="148"/>
      <c r="B71" s="54"/>
      <c r="C71" s="358"/>
      <c r="D71" s="148"/>
      <c r="E71" s="132"/>
      <c r="F71" s="168"/>
    </row>
    <row r="72" spans="1:6" ht="15">
      <c r="A72" s="151"/>
      <c r="B72" s="536" t="s">
        <v>555</v>
      </c>
      <c r="C72" s="536"/>
      <c r="D72" s="315"/>
      <c r="E72" s="305"/>
      <c r="F72" s="147"/>
    </row>
    <row r="73" spans="1:6" ht="28.5">
      <c r="A73" s="16">
        <v>1</v>
      </c>
      <c r="B73" s="3" t="s">
        <v>500</v>
      </c>
      <c r="C73" s="3" t="s">
        <v>559</v>
      </c>
      <c r="D73" s="1" t="s">
        <v>818</v>
      </c>
      <c r="E73" s="120"/>
      <c r="F73" s="1" t="s">
        <v>612</v>
      </c>
    </row>
    <row r="74" spans="1:6" ht="14.25">
      <c r="A74" s="16">
        <v>2</v>
      </c>
      <c r="B74" s="18" t="s">
        <v>494</v>
      </c>
      <c r="C74" s="3" t="s">
        <v>556</v>
      </c>
      <c r="D74" s="9" t="s">
        <v>605</v>
      </c>
      <c r="E74" s="120"/>
      <c r="F74" s="1" t="s">
        <v>612</v>
      </c>
    </row>
    <row r="75" spans="1:6" ht="14.25">
      <c r="A75" s="1">
        <v>3</v>
      </c>
      <c r="B75" s="3" t="s">
        <v>522</v>
      </c>
      <c r="C75" s="3" t="s">
        <v>557</v>
      </c>
      <c r="D75" s="9" t="s">
        <v>605</v>
      </c>
      <c r="E75" s="120">
        <v>94.59</v>
      </c>
      <c r="F75" s="1" t="s">
        <v>612</v>
      </c>
    </row>
    <row r="76" spans="1:6" ht="14.25">
      <c r="A76" s="16">
        <v>4</v>
      </c>
      <c r="B76" s="3" t="s">
        <v>508</v>
      </c>
      <c r="C76" s="3" t="s">
        <v>558</v>
      </c>
      <c r="D76" s="1" t="s">
        <v>605</v>
      </c>
      <c r="E76" s="120"/>
      <c r="F76" s="1" t="s">
        <v>612</v>
      </c>
    </row>
    <row r="77" spans="1:6" ht="28.5">
      <c r="A77" s="16">
        <v>5</v>
      </c>
      <c r="B77" s="530" t="s">
        <v>528</v>
      </c>
      <c r="C77" s="3" t="s">
        <v>560</v>
      </c>
      <c r="D77" s="4" t="s">
        <v>605</v>
      </c>
      <c r="E77" s="122">
        <f>200000/3500</f>
        <v>57.142857142857146</v>
      </c>
      <c r="F77" s="1" t="s">
        <v>614</v>
      </c>
    </row>
    <row r="78" spans="1:6" ht="28.5">
      <c r="A78" s="16">
        <v>6</v>
      </c>
      <c r="B78" s="532"/>
      <c r="C78" s="262" t="s">
        <v>561</v>
      </c>
      <c r="D78" s="355" t="s">
        <v>605</v>
      </c>
      <c r="E78" s="356">
        <v>57.14</v>
      </c>
      <c r="F78" s="16" t="s">
        <v>614</v>
      </c>
    </row>
    <row r="79" spans="1:6" ht="15">
      <c r="A79" s="178"/>
      <c r="B79" s="40"/>
      <c r="C79" s="358" t="s">
        <v>562</v>
      </c>
      <c r="D79" s="359"/>
      <c r="E79" s="556">
        <f>SUM(E73:E78)</f>
        <v>208.87285714285713</v>
      </c>
      <c r="F79" s="201"/>
    </row>
    <row r="80" spans="1:6" ht="15">
      <c r="A80" s="40"/>
      <c r="B80" s="40"/>
      <c r="C80" s="358"/>
      <c r="D80" s="359"/>
      <c r="E80" s="360"/>
      <c r="F80" s="168"/>
    </row>
    <row r="81" spans="1:6" ht="15">
      <c r="A81" s="150"/>
      <c r="B81" s="536" t="s">
        <v>565</v>
      </c>
      <c r="C81" s="536"/>
      <c r="D81" s="176"/>
      <c r="E81" s="305"/>
      <c r="F81" s="147"/>
    </row>
    <row r="82" spans="1:6" ht="14.25">
      <c r="A82" s="187">
        <v>1</v>
      </c>
      <c r="B82" s="250" t="s">
        <v>522</v>
      </c>
      <c r="C82" s="250" t="s">
        <v>566</v>
      </c>
      <c r="D82" s="187" t="s">
        <v>606</v>
      </c>
      <c r="E82" s="361">
        <f>768268/3500</f>
        <v>219.50514285714286</v>
      </c>
      <c r="F82" s="16" t="s">
        <v>611</v>
      </c>
    </row>
    <row r="83" spans="1:6" ht="28.5">
      <c r="A83" s="191">
        <v>2</v>
      </c>
      <c r="B83" s="253" t="s">
        <v>498</v>
      </c>
      <c r="C83" s="254" t="s">
        <v>568</v>
      </c>
      <c r="D83" s="191" t="s">
        <v>569</v>
      </c>
      <c r="E83" s="362">
        <f>500/3.7</f>
        <v>135.13513513513513</v>
      </c>
      <c r="F83" s="9" t="s">
        <v>611</v>
      </c>
    </row>
    <row r="84" spans="1:6" ht="14.25">
      <c r="A84" s="189">
        <v>3</v>
      </c>
      <c r="B84" s="7" t="s">
        <v>508</v>
      </c>
      <c r="C84" s="7" t="s">
        <v>567</v>
      </c>
      <c r="D84" s="189" t="s">
        <v>605</v>
      </c>
      <c r="E84" s="130"/>
      <c r="F84" s="1" t="s">
        <v>611</v>
      </c>
    </row>
    <row r="85" spans="1:6" ht="15">
      <c r="A85" s="183"/>
      <c r="B85" s="258"/>
      <c r="C85" s="357" t="s">
        <v>570</v>
      </c>
      <c r="D85" s="90"/>
      <c r="E85" s="184">
        <f>SUM(E82:E84)</f>
        <v>354.640277992278</v>
      </c>
      <c r="F85" s="185"/>
    </row>
    <row r="86" spans="1:6" ht="15">
      <c r="A86" s="148"/>
      <c r="B86" s="268"/>
      <c r="C86" s="358"/>
      <c r="D86" s="148"/>
      <c r="E86" s="132"/>
      <c r="F86" s="168"/>
    </row>
    <row r="87" spans="1:6" ht="15">
      <c r="A87" s="44"/>
      <c r="B87" s="545" t="s">
        <v>462</v>
      </c>
      <c r="C87" s="545"/>
      <c r="D87" s="45"/>
      <c r="E87" s="202"/>
      <c r="F87" s="10"/>
    </row>
    <row r="88" spans="1:6" ht="14.25">
      <c r="A88" s="16">
        <v>1</v>
      </c>
      <c r="B88" s="18" t="s">
        <v>522</v>
      </c>
      <c r="C88" s="43" t="s">
        <v>571</v>
      </c>
      <c r="D88" s="16" t="s">
        <v>605</v>
      </c>
      <c r="E88" s="114"/>
      <c r="F88" s="16" t="s">
        <v>612</v>
      </c>
    </row>
    <row r="89" spans="1:6" ht="28.5">
      <c r="A89" s="1">
        <v>2</v>
      </c>
      <c r="B89" s="3" t="s">
        <v>572</v>
      </c>
      <c r="C89" s="3" t="s">
        <v>573</v>
      </c>
      <c r="D89" s="1" t="s">
        <v>605</v>
      </c>
      <c r="E89" s="120"/>
      <c r="F89" s="1" t="s">
        <v>612</v>
      </c>
    </row>
    <row r="90" spans="1:6" ht="42.75">
      <c r="A90" s="9">
        <v>3</v>
      </c>
      <c r="B90" s="39" t="s">
        <v>539</v>
      </c>
      <c r="C90" s="39" t="s">
        <v>574</v>
      </c>
      <c r="D90" s="9" t="s">
        <v>605</v>
      </c>
      <c r="E90" s="116"/>
      <c r="F90" s="9" t="s">
        <v>612</v>
      </c>
    </row>
    <row r="91" spans="1:6" s="19" customFormat="1" ht="15">
      <c r="A91" s="219"/>
      <c r="B91" s="51"/>
      <c r="C91" s="357" t="s">
        <v>464</v>
      </c>
      <c r="D91" s="227"/>
      <c r="E91" s="184"/>
      <c r="F91" s="146"/>
    </row>
    <row r="92" spans="1:6" s="19" customFormat="1" ht="15">
      <c r="A92" s="227"/>
      <c r="B92" s="51"/>
      <c r="C92" s="357"/>
      <c r="D92" s="227"/>
      <c r="E92" s="543"/>
      <c r="F92" s="544"/>
    </row>
    <row r="93" spans="1:6" s="19" customFormat="1" ht="15">
      <c r="A93" s="11"/>
      <c r="B93" s="545" t="s">
        <v>158</v>
      </c>
      <c r="C93" s="545"/>
      <c r="D93" s="29"/>
      <c r="E93" s="202"/>
      <c r="F93" s="10"/>
    </row>
    <row r="94" spans="1:6" s="19" customFormat="1" ht="14.25">
      <c r="A94" s="41">
        <v>1</v>
      </c>
      <c r="B94" s="363" t="s">
        <v>528</v>
      </c>
      <c r="C94" s="48" t="s">
        <v>591</v>
      </c>
      <c r="D94" s="41" t="s">
        <v>605</v>
      </c>
      <c r="E94" s="134">
        <f>3500000/3500</f>
        <v>1000</v>
      </c>
      <c r="F94" s="41" t="s">
        <v>614</v>
      </c>
    </row>
    <row r="95" spans="1:6" s="19" customFormat="1" ht="15">
      <c r="A95" s="183"/>
      <c r="B95" s="258"/>
      <c r="C95" s="357" t="s">
        <v>163</v>
      </c>
      <c r="D95" s="90"/>
      <c r="E95" s="184">
        <f>SUM(E94)</f>
        <v>1000</v>
      </c>
      <c r="F95" s="185"/>
    </row>
    <row r="96" spans="1:6" ht="14.25">
      <c r="A96" s="268"/>
      <c r="B96" s="268"/>
      <c r="C96" s="459"/>
      <c r="D96" s="148"/>
      <c r="E96" s="289"/>
      <c r="F96" s="268"/>
    </row>
    <row r="97" spans="1:6" ht="15">
      <c r="A97" s="151"/>
      <c r="B97" s="536" t="s">
        <v>912</v>
      </c>
      <c r="C97" s="536"/>
      <c r="D97" s="315"/>
      <c r="E97" s="305"/>
      <c r="F97" s="147"/>
    </row>
    <row r="98" spans="1:6" ht="14.25">
      <c r="A98" s="16">
        <v>1</v>
      </c>
      <c r="B98" s="18" t="s">
        <v>526</v>
      </c>
      <c r="C98" s="250" t="s">
        <v>576</v>
      </c>
      <c r="D98" s="16" t="s">
        <v>605</v>
      </c>
      <c r="E98" s="203"/>
      <c r="F98" s="16" t="s">
        <v>611</v>
      </c>
    </row>
    <row r="99" spans="1:6" ht="14.25">
      <c r="A99" s="1">
        <v>2</v>
      </c>
      <c r="B99" s="17" t="s">
        <v>528</v>
      </c>
      <c r="C99" s="17" t="s">
        <v>577</v>
      </c>
      <c r="D99" s="1" t="s">
        <v>605</v>
      </c>
      <c r="E99" s="131">
        <f>149000/3500</f>
        <v>42.57142857142857</v>
      </c>
      <c r="F99" s="1" t="s">
        <v>611</v>
      </c>
    </row>
    <row r="100" spans="1:6" ht="15">
      <c r="A100" s="204"/>
      <c r="B100" s="268"/>
      <c r="C100" s="358" t="s">
        <v>578</v>
      </c>
      <c r="D100" s="40"/>
      <c r="E100" s="126">
        <f>SUM(E98:E99)</f>
        <v>42.57142857142857</v>
      </c>
      <c r="F100" s="201"/>
    </row>
    <row r="101" spans="1:6" ht="15">
      <c r="A101" s="268"/>
      <c r="B101" s="268"/>
      <c r="C101" s="358"/>
      <c r="D101" s="40"/>
      <c r="E101" s="132"/>
      <c r="F101" s="168"/>
    </row>
    <row r="102" spans="1:6" ht="15">
      <c r="A102" s="151"/>
      <c r="B102" s="536" t="s">
        <v>579</v>
      </c>
      <c r="C102" s="536"/>
      <c r="D102" s="315"/>
      <c r="E102" s="305"/>
      <c r="F102" s="147"/>
    </row>
    <row r="103" spans="1:6" ht="28.5">
      <c r="A103" s="16">
        <v>1</v>
      </c>
      <c r="B103" s="18" t="s">
        <v>498</v>
      </c>
      <c r="C103" s="18" t="s">
        <v>580</v>
      </c>
      <c r="D103" s="16" t="s">
        <v>606</v>
      </c>
      <c r="E103" s="114">
        <v>1064.56</v>
      </c>
      <c r="F103" s="16" t="s">
        <v>613</v>
      </c>
    </row>
    <row r="104" spans="1:6" ht="42.75">
      <c r="A104" s="1">
        <v>2</v>
      </c>
      <c r="B104" s="3" t="s">
        <v>539</v>
      </c>
      <c r="C104" s="7" t="s">
        <v>581</v>
      </c>
      <c r="D104" s="1" t="s">
        <v>606</v>
      </c>
      <c r="E104" s="120">
        <v>6.83</v>
      </c>
      <c r="F104" s="1" t="s">
        <v>613</v>
      </c>
    </row>
    <row r="105" spans="1:6" ht="28.5">
      <c r="A105" s="26">
        <v>3</v>
      </c>
      <c r="B105" s="366" t="s">
        <v>528</v>
      </c>
      <c r="C105" s="39" t="s">
        <v>583</v>
      </c>
      <c r="D105" s="26" t="s">
        <v>606</v>
      </c>
      <c r="E105" s="116">
        <f>4000000/3500</f>
        <v>1142.857142857143</v>
      </c>
      <c r="F105" s="9" t="s">
        <v>613</v>
      </c>
    </row>
    <row r="106" spans="1:6" ht="14.25">
      <c r="A106" s="14">
        <v>4</v>
      </c>
      <c r="B106" s="15" t="s">
        <v>506</v>
      </c>
      <c r="C106" s="8" t="s">
        <v>582</v>
      </c>
      <c r="D106" s="1" t="s">
        <v>605</v>
      </c>
      <c r="E106" s="343">
        <v>270.27027027027026</v>
      </c>
      <c r="F106" s="1" t="s">
        <v>613</v>
      </c>
    </row>
    <row r="107" spans="1:6" ht="15">
      <c r="A107" s="219"/>
      <c r="B107" s="51"/>
      <c r="C107" s="357" t="s">
        <v>584</v>
      </c>
      <c r="D107" s="227"/>
      <c r="E107" s="184">
        <f>SUM(E103:E106)</f>
        <v>2484.517413127413</v>
      </c>
      <c r="F107" s="365"/>
    </row>
    <row r="108" spans="1:6" ht="15">
      <c r="A108" s="266"/>
      <c r="B108" s="47"/>
      <c r="C108" s="358"/>
      <c r="D108" s="266"/>
      <c r="E108" s="132"/>
      <c r="F108" s="47"/>
    </row>
    <row r="109" spans="1:6" ht="15">
      <c r="A109" s="150"/>
      <c r="B109" s="536" t="s">
        <v>585</v>
      </c>
      <c r="C109" s="536"/>
      <c r="D109" s="176"/>
      <c r="E109" s="305"/>
      <c r="F109" s="147"/>
    </row>
    <row r="110" spans="1:6" ht="14.25">
      <c r="A110" s="205">
        <v>1</v>
      </c>
      <c r="B110" s="7" t="s">
        <v>528</v>
      </c>
      <c r="C110" s="8" t="s">
        <v>294</v>
      </c>
      <c r="D110" s="189" t="s">
        <v>607</v>
      </c>
      <c r="E110" s="130">
        <v>286</v>
      </c>
      <c r="F110" s="14" t="s">
        <v>614</v>
      </c>
    </row>
    <row r="111" spans="1:6" ht="14.25">
      <c r="A111" s="205">
        <v>2</v>
      </c>
      <c r="B111" s="7" t="s">
        <v>494</v>
      </c>
      <c r="C111" s="7" t="s">
        <v>586</v>
      </c>
      <c r="D111" s="189" t="s">
        <v>605</v>
      </c>
      <c r="E111" s="130"/>
      <c r="F111" s="14" t="s">
        <v>612</v>
      </c>
    </row>
    <row r="112" spans="1:6" ht="15">
      <c r="A112" s="321"/>
      <c r="B112" s="51"/>
      <c r="C112" s="357" t="s">
        <v>587</v>
      </c>
      <c r="D112" s="227"/>
      <c r="E112" s="184">
        <f>SUM(E110:E110)</f>
        <v>286</v>
      </c>
      <c r="F112" s="365"/>
    </row>
    <row r="113" spans="1:6" ht="15">
      <c r="A113" s="51"/>
      <c r="B113" s="51"/>
      <c r="C113" s="357"/>
      <c r="D113" s="227"/>
      <c r="E113" s="543"/>
      <c r="F113" s="51"/>
    </row>
    <row r="114" spans="1:6" ht="15">
      <c r="A114" s="151"/>
      <c r="B114" s="536" t="s">
        <v>141</v>
      </c>
      <c r="C114" s="536"/>
      <c r="D114" s="315"/>
      <c r="E114" s="305"/>
      <c r="F114" s="147"/>
    </row>
    <row r="115" spans="1:6" ht="28.5">
      <c r="A115" s="92">
        <v>1</v>
      </c>
      <c r="B115" s="100" t="s">
        <v>498</v>
      </c>
      <c r="C115" s="100" t="s">
        <v>600</v>
      </c>
      <c r="D115" s="92" t="s">
        <v>608</v>
      </c>
      <c r="E115" s="120">
        <f>1500/3.7</f>
        <v>405.40540540540536</v>
      </c>
      <c r="F115" s="1" t="s">
        <v>611</v>
      </c>
    </row>
    <row r="116" spans="1:6" ht="28.5">
      <c r="A116" s="92">
        <v>2</v>
      </c>
      <c r="B116" s="100" t="s">
        <v>504</v>
      </c>
      <c r="C116" s="100" t="s">
        <v>969</v>
      </c>
      <c r="D116" s="92" t="s">
        <v>608</v>
      </c>
      <c r="E116" s="120"/>
      <c r="F116" s="1" t="s">
        <v>611</v>
      </c>
    </row>
    <row r="117" spans="1:6" ht="15">
      <c r="A117" s="290"/>
      <c r="B117" s="47"/>
      <c r="C117" s="358" t="s">
        <v>164</v>
      </c>
      <c r="D117" s="266"/>
      <c r="E117" s="126">
        <f>SUM(E115:E115)</f>
        <v>405.40540540540536</v>
      </c>
      <c r="F117" s="10"/>
    </row>
    <row r="118" ht="14.25">
      <c r="F118" s="215"/>
    </row>
    <row r="119" spans="1:6" ht="15">
      <c r="A119" s="44"/>
      <c r="B119" s="545" t="s">
        <v>165</v>
      </c>
      <c r="C119" s="545"/>
      <c r="D119" s="45"/>
      <c r="E119" s="202"/>
      <c r="F119" s="10"/>
    </row>
    <row r="120" spans="1:6" ht="28.5">
      <c r="A120" s="46">
        <v>1</v>
      </c>
      <c r="B120" s="35" t="s">
        <v>528</v>
      </c>
      <c r="C120" s="35" t="s">
        <v>601</v>
      </c>
      <c r="D120" s="1" t="s">
        <v>818</v>
      </c>
      <c r="E120" s="114">
        <v>1285.71</v>
      </c>
      <c r="F120" s="16" t="s">
        <v>611</v>
      </c>
    </row>
    <row r="121" spans="1:6" ht="15">
      <c r="A121" s="367"/>
      <c r="B121" s="47"/>
      <c r="C121" s="358" t="s">
        <v>162</v>
      </c>
      <c r="D121" s="266"/>
      <c r="E121" s="126">
        <f>SUM(E120:E120)</f>
        <v>1285.71</v>
      </c>
      <c r="F121" s="143"/>
    </row>
    <row r="122" spans="1:6" ht="15">
      <c r="A122" s="47"/>
      <c r="B122" s="47"/>
      <c r="C122" s="358"/>
      <c r="D122" s="266"/>
      <c r="E122" s="132"/>
      <c r="F122" s="47"/>
    </row>
    <row r="123" spans="1:6" ht="15">
      <c r="A123" s="151"/>
      <c r="B123" s="536" t="s">
        <v>387</v>
      </c>
      <c r="C123" s="536"/>
      <c r="D123" s="315"/>
      <c r="E123" s="305"/>
      <c r="F123" s="147"/>
    </row>
    <row r="124" spans="1:6" ht="14.25">
      <c r="A124" s="41">
        <v>1</v>
      </c>
      <c r="B124" s="48" t="s">
        <v>588</v>
      </c>
      <c r="C124" s="48" t="s">
        <v>589</v>
      </c>
      <c r="D124" s="41" t="s">
        <v>605</v>
      </c>
      <c r="E124" s="134"/>
      <c r="F124" s="41" t="s">
        <v>950</v>
      </c>
    </row>
    <row r="125" spans="1:6" ht="15">
      <c r="A125" s="367"/>
      <c r="B125" s="47"/>
      <c r="C125" s="358" t="s">
        <v>389</v>
      </c>
      <c r="D125" s="266"/>
      <c r="E125" s="126"/>
      <c r="F125" s="10"/>
    </row>
    <row r="126" spans="1:6" ht="15">
      <c r="A126" s="266"/>
      <c r="B126" s="53"/>
      <c r="C126" s="358"/>
      <c r="D126" s="266"/>
      <c r="E126" s="132"/>
      <c r="F126" s="29"/>
    </row>
    <row r="127" spans="1:6" ht="15">
      <c r="A127" s="195"/>
      <c r="B127" s="536" t="s">
        <v>394</v>
      </c>
      <c r="C127" s="536"/>
      <c r="D127" s="195"/>
      <c r="E127" s="310"/>
      <c r="F127" s="197"/>
    </row>
    <row r="128" spans="1:6" ht="28.5">
      <c r="A128" s="330">
        <v>1</v>
      </c>
      <c r="B128" s="596" t="s">
        <v>528</v>
      </c>
      <c r="C128" s="3" t="s">
        <v>592</v>
      </c>
      <c r="D128" s="4" t="s">
        <v>607</v>
      </c>
      <c r="E128" s="120">
        <f>1500000/3500</f>
        <v>428.57142857142856</v>
      </c>
      <c r="F128" s="1" t="s">
        <v>593</v>
      </c>
    </row>
    <row r="129" spans="1:6" ht="14.25">
      <c r="A129" s="330">
        <v>2</v>
      </c>
      <c r="B129" s="597"/>
      <c r="C129" s="3" t="s">
        <v>594</v>
      </c>
      <c r="D129" s="1" t="s">
        <v>818</v>
      </c>
      <c r="E129" s="120">
        <f>60000/3500</f>
        <v>17.142857142857142</v>
      </c>
      <c r="F129" s="1" t="s">
        <v>614</v>
      </c>
    </row>
    <row r="130" spans="1:6" ht="14.25">
      <c r="A130" s="330">
        <v>3</v>
      </c>
      <c r="B130" s="597"/>
      <c r="C130" s="3" t="s">
        <v>595</v>
      </c>
      <c r="D130" s="1" t="s">
        <v>818</v>
      </c>
      <c r="E130" s="120">
        <f>700000/3500</f>
        <v>200</v>
      </c>
      <c r="F130" s="1" t="s">
        <v>593</v>
      </c>
    </row>
    <row r="131" spans="1:6" ht="14.25">
      <c r="A131" s="330">
        <v>4</v>
      </c>
      <c r="B131" s="597"/>
      <c r="C131" s="3" t="s">
        <v>596</v>
      </c>
      <c r="D131" s="1" t="s">
        <v>818</v>
      </c>
      <c r="E131" s="120">
        <f>250000/3500</f>
        <v>71.42857142857143</v>
      </c>
      <c r="F131" s="1" t="s">
        <v>614</v>
      </c>
    </row>
    <row r="132" spans="1:6" ht="28.5">
      <c r="A132" s="330">
        <v>5</v>
      </c>
      <c r="B132" s="597"/>
      <c r="C132" s="3" t="s">
        <v>597</v>
      </c>
      <c r="D132" s="1" t="s">
        <v>818</v>
      </c>
      <c r="E132" s="120">
        <f>200000/350</f>
        <v>571.4285714285714</v>
      </c>
      <c r="F132" s="1" t="s">
        <v>614</v>
      </c>
    </row>
    <row r="133" spans="1:6" ht="28.5">
      <c r="A133" s="330">
        <v>6</v>
      </c>
      <c r="B133" s="597"/>
      <c r="C133" s="3" t="s">
        <v>598</v>
      </c>
      <c r="D133" s="4" t="s">
        <v>608</v>
      </c>
      <c r="E133" s="120">
        <f>150000/3500</f>
        <v>42.857142857142854</v>
      </c>
      <c r="F133" s="1" t="s">
        <v>614</v>
      </c>
    </row>
    <row r="134" spans="1:6" ht="28.5">
      <c r="A134" s="333">
        <v>7</v>
      </c>
      <c r="B134" s="597"/>
      <c r="C134" s="39" t="s">
        <v>599</v>
      </c>
      <c r="D134" s="26" t="s">
        <v>608</v>
      </c>
      <c r="E134" s="116">
        <f>100000/3500</f>
        <v>28.571428571428573</v>
      </c>
      <c r="F134" s="9" t="s">
        <v>614</v>
      </c>
    </row>
    <row r="135" spans="1:6" ht="14.25">
      <c r="A135" s="330">
        <v>8</v>
      </c>
      <c r="B135" s="598"/>
      <c r="C135" s="17" t="s">
        <v>575</v>
      </c>
      <c r="D135" s="1" t="s">
        <v>818</v>
      </c>
      <c r="E135" s="343">
        <v>51.42</v>
      </c>
      <c r="F135" s="96" t="s">
        <v>614</v>
      </c>
    </row>
    <row r="136" spans="1:6" ht="15">
      <c r="A136" s="321"/>
      <c r="B136" s="51"/>
      <c r="C136" s="357" t="s">
        <v>395</v>
      </c>
      <c r="D136" s="227"/>
      <c r="E136" s="184">
        <f>SUM(E128:E135)</f>
        <v>1411.4200000000003</v>
      </c>
      <c r="F136" s="146"/>
    </row>
    <row r="137" spans="1:6" ht="15" thickBot="1">
      <c r="A137" s="40"/>
      <c r="B137" s="193"/>
      <c r="C137" s="308"/>
      <c r="D137" s="368"/>
      <c r="E137" s="175"/>
      <c r="F137" s="168"/>
    </row>
    <row r="138" spans="1:6" ht="15.75" thickBot="1">
      <c r="A138" s="458">
        <f>SUM(A135+A124+A120+A116+A111+A106+A99+A94+A90+A84+A78+A69+A65+A39+A21+A17)</f>
        <v>87</v>
      </c>
      <c r="B138" s="441"/>
      <c r="C138" s="460" t="s">
        <v>929</v>
      </c>
      <c r="D138" s="462"/>
      <c r="E138" s="463">
        <f>SUM(E136+E121+E117+E112+E107+E100+E95+E85+E79+E70+E66+E40+E22+E18)</f>
        <v>30706.11677409266</v>
      </c>
      <c r="F138" s="444"/>
    </row>
    <row r="139" ht="14.25">
      <c r="F139" s="215"/>
    </row>
    <row r="140" spans="3:6" ht="15">
      <c r="C140" s="439" t="s">
        <v>866</v>
      </c>
      <c r="E140" s="445">
        <f>SUM(E120+E132+E131+E130+E129+E110+E105+E104+E103+E135+E82+E73+E69+E45+E44+E43+E32+E31+E30+E29+E28+E27+E26+E25+E13+E12+E11+E10+E9+E8+E7+E6+E5+E4)</f>
        <v>20420.02382042471</v>
      </c>
      <c r="F140" s="215"/>
    </row>
    <row r="141" spans="3:6" ht="15">
      <c r="C141" s="439" t="s">
        <v>922</v>
      </c>
      <c r="E141" s="445">
        <f>SUM(E138-E140)</f>
        <v>10286.09295366795</v>
      </c>
      <c r="F141" s="215"/>
    </row>
    <row r="142" ht="14.25">
      <c r="F142" s="215"/>
    </row>
    <row r="143" ht="14.25">
      <c r="F143" s="215"/>
    </row>
    <row r="144" ht="14.25">
      <c r="F144" s="215"/>
    </row>
    <row r="145" ht="14.25">
      <c r="F145" s="215"/>
    </row>
    <row r="146" ht="14.25">
      <c r="F146" s="215"/>
    </row>
    <row r="147" ht="14.25">
      <c r="F147" s="215"/>
    </row>
    <row r="148" ht="14.25">
      <c r="F148" s="215"/>
    </row>
    <row r="149" ht="14.25">
      <c r="F149" s="215"/>
    </row>
    <row r="150" ht="14.25">
      <c r="F150" s="215"/>
    </row>
    <row r="151" ht="14.25">
      <c r="F151" s="215"/>
    </row>
    <row r="152" ht="14.25">
      <c r="F152" s="215"/>
    </row>
    <row r="153" ht="14.25">
      <c r="F153" s="215"/>
    </row>
    <row r="154" ht="14.25">
      <c r="F154" s="215"/>
    </row>
    <row r="155" ht="14.25">
      <c r="F155" s="215"/>
    </row>
    <row r="156" ht="14.25">
      <c r="F156" s="215"/>
    </row>
    <row r="157" ht="14.25">
      <c r="F157" s="215"/>
    </row>
    <row r="158" ht="14.25">
      <c r="F158" s="215"/>
    </row>
    <row r="159" ht="14.25">
      <c r="F159" s="215"/>
    </row>
    <row r="160" ht="14.25">
      <c r="F160" s="215"/>
    </row>
    <row r="161" ht="14.25">
      <c r="F161" s="215"/>
    </row>
    <row r="162" ht="14.25">
      <c r="F162" s="215"/>
    </row>
    <row r="163" ht="14.25">
      <c r="F163" s="215"/>
    </row>
    <row r="164" ht="14.25">
      <c r="F164" s="215"/>
    </row>
    <row r="165" ht="14.25">
      <c r="F165" s="215"/>
    </row>
    <row r="166" ht="14.25">
      <c r="F166" s="215"/>
    </row>
    <row r="167" ht="14.25">
      <c r="F167" s="215"/>
    </row>
    <row r="168" ht="14.25">
      <c r="F168" s="215"/>
    </row>
    <row r="169" ht="14.25">
      <c r="F169" s="215"/>
    </row>
    <row r="170" ht="14.25">
      <c r="F170" s="215"/>
    </row>
    <row r="171" ht="14.25">
      <c r="F171" s="215"/>
    </row>
    <row r="172" ht="14.25">
      <c r="F172" s="215"/>
    </row>
    <row r="173" ht="14.25">
      <c r="F173" s="215"/>
    </row>
    <row r="174" ht="14.25">
      <c r="F174" s="215"/>
    </row>
    <row r="175" ht="14.25">
      <c r="F175" s="215"/>
    </row>
    <row r="176" ht="14.25">
      <c r="F176" s="215"/>
    </row>
    <row r="177" ht="14.25">
      <c r="F177" s="215"/>
    </row>
    <row r="178" ht="14.25">
      <c r="F178" s="215"/>
    </row>
    <row r="179" ht="14.25">
      <c r="F179" s="215"/>
    </row>
    <row r="180" ht="14.25">
      <c r="F180" s="215"/>
    </row>
    <row r="181" ht="14.25">
      <c r="F181" s="215"/>
    </row>
    <row r="182" ht="14.25">
      <c r="F182" s="215"/>
    </row>
    <row r="183" ht="14.25">
      <c r="F183" s="215"/>
    </row>
    <row r="184" ht="14.25">
      <c r="F184" s="215"/>
    </row>
    <row r="185" ht="14.25">
      <c r="F185" s="215"/>
    </row>
    <row r="186" ht="14.25">
      <c r="F186" s="215"/>
    </row>
    <row r="187" ht="14.25">
      <c r="F187" s="215"/>
    </row>
    <row r="188" ht="14.25">
      <c r="F188" s="215"/>
    </row>
    <row r="189" ht="14.25">
      <c r="F189" s="215"/>
    </row>
    <row r="190" ht="14.25">
      <c r="F190" s="215"/>
    </row>
    <row r="191" ht="14.25">
      <c r="F191" s="215"/>
    </row>
    <row r="192" ht="14.25">
      <c r="F192" s="215"/>
    </row>
    <row r="193" ht="14.25">
      <c r="F193" s="215"/>
    </row>
    <row r="194" ht="14.25">
      <c r="F194" s="215"/>
    </row>
    <row r="195" ht="14.25">
      <c r="F195" s="215"/>
    </row>
    <row r="196" ht="14.25">
      <c r="F196" s="215"/>
    </row>
    <row r="197" ht="14.25">
      <c r="F197" s="215"/>
    </row>
    <row r="198" ht="14.25">
      <c r="F198" s="215"/>
    </row>
    <row r="199" ht="14.25">
      <c r="F199" s="215"/>
    </row>
    <row r="200" ht="14.25">
      <c r="F200" s="215"/>
    </row>
    <row r="201" ht="14.25">
      <c r="F201" s="215"/>
    </row>
    <row r="202" ht="14.25">
      <c r="F202" s="215"/>
    </row>
    <row r="203" ht="14.25">
      <c r="F203" s="215"/>
    </row>
    <row r="204" ht="14.25">
      <c r="F204" s="215"/>
    </row>
    <row r="205" ht="14.25">
      <c r="F205" s="215"/>
    </row>
    <row r="206" ht="14.25">
      <c r="F206" s="215"/>
    </row>
    <row r="207" ht="14.25">
      <c r="F207" s="215"/>
    </row>
    <row r="208" ht="14.25">
      <c r="F208" s="215"/>
    </row>
    <row r="209" ht="14.25">
      <c r="F209" s="215"/>
    </row>
    <row r="210" ht="14.25">
      <c r="F210" s="215"/>
    </row>
    <row r="211" ht="14.25">
      <c r="F211" s="215"/>
    </row>
    <row r="212" ht="14.25">
      <c r="F212" s="215"/>
    </row>
    <row r="213" ht="14.25">
      <c r="F213" s="215"/>
    </row>
    <row r="214" ht="14.25">
      <c r="F214" s="215"/>
    </row>
    <row r="215" ht="14.25">
      <c r="F215" s="215"/>
    </row>
    <row r="216" ht="14.25">
      <c r="F216" s="215"/>
    </row>
    <row r="217" ht="14.25">
      <c r="F217" s="215"/>
    </row>
    <row r="218" ht="14.25">
      <c r="F218" s="215"/>
    </row>
    <row r="219" ht="14.25">
      <c r="F219" s="215"/>
    </row>
    <row r="220" ht="14.25">
      <c r="F220" s="215"/>
    </row>
    <row r="221" ht="14.25">
      <c r="F221" s="215"/>
    </row>
    <row r="222" ht="14.25">
      <c r="F222" s="215"/>
    </row>
    <row r="223" ht="14.25">
      <c r="F223" s="215"/>
    </row>
    <row r="224" ht="14.25">
      <c r="F224" s="215"/>
    </row>
    <row r="225" ht="14.25">
      <c r="F225" s="215"/>
    </row>
    <row r="226" ht="14.25">
      <c r="F226" s="215"/>
    </row>
    <row r="227" ht="14.25">
      <c r="F227" s="215"/>
    </row>
    <row r="228" ht="14.25">
      <c r="F228" s="215"/>
    </row>
    <row r="229" ht="14.25">
      <c r="F229" s="215"/>
    </row>
    <row r="230" ht="14.25">
      <c r="F230" s="215"/>
    </row>
    <row r="231" ht="14.25">
      <c r="F231" s="215"/>
    </row>
    <row r="232" ht="14.25">
      <c r="F232" s="215"/>
    </row>
    <row r="233" ht="14.25">
      <c r="F233" s="215"/>
    </row>
    <row r="234" ht="14.25">
      <c r="F234" s="215"/>
    </row>
    <row r="235" ht="14.25">
      <c r="F235" s="215"/>
    </row>
    <row r="236" ht="14.25">
      <c r="F236" s="215"/>
    </row>
    <row r="237" ht="14.25">
      <c r="F237" s="215"/>
    </row>
    <row r="238" ht="14.25">
      <c r="F238" s="215"/>
    </row>
    <row r="239" ht="14.25">
      <c r="F239" s="215"/>
    </row>
    <row r="240" ht="14.25">
      <c r="F240" s="215"/>
    </row>
    <row r="241" ht="14.25">
      <c r="F241" s="215"/>
    </row>
    <row r="242" ht="14.25">
      <c r="F242" s="215"/>
    </row>
    <row r="243" ht="14.25">
      <c r="F243" s="215"/>
    </row>
    <row r="244" ht="14.25">
      <c r="F244" s="215"/>
    </row>
    <row r="245" ht="14.25">
      <c r="F245" s="215"/>
    </row>
    <row r="246" ht="14.25">
      <c r="F246" s="215"/>
    </row>
    <row r="247" ht="14.25">
      <c r="F247" s="215"/>
    </row>
    <row r="248" ht="14.25">
      <c r="F248" s="215"/>
    </row>
    <row r="249" ht="14.25">
      <c r="F249" s="215"/>
    </row>
    <row r="250" ht="14.25">
      <c r="F250" s="215"/>
    </row>
    <row r="251" ht="14.25">
      <c r="F251" s="215"/>
    </row>
    <row r="252" ht="14.25">
      <c r="F252" s="215"/>
    </row>
    <row r="253" ht="14.25">
      <c r="F253" s="215"/>
    </row>
    <row r="254" ht="14.25">
      <c r="F254" s="215"/>
    </row>
    <row r="255" ht="14.25">
      <c r="F255" s="215"/>
    </row>
    <row r="256" ht="14.25">
      <c r="F256" s="215"/>
    </row>
    <row r="257" ht="14.25">
      <c r="F257" s="215"/>
    </row>
    <row r="258" ht="14.25">
      <c r="F258" s="215"/>
    </row>
    <row r="259" ht="14.25">
      <c r="F259" s="215"/>
    </row>
    <row r="260" ht="14.25">
      <c r="F260" s="215"/>
    </row>
    <row r="261" ht="14.25">
      <c r="F261" s="215"/>
    </row>
    <row r="262" ht="14.25">
      <c r="F262" s="215"/>
    </row>
    <row r="263" ht="14.25">
      <c r="F263" s="215"/>
    </row>
    <row r="264" ht="14.25">
      <c r="F264" s="215"/>
    </row>
    <row r="265" ht="14.25">
      <c r="F265" s="215"/>
    </row>
    <row r="266" ht="14.25">
      <c r="F266" s="215"/>
    </row>
    <row r="267" ht="14.25">
      <c r="F267" s="215"/>
    </row>
    <row r="268" ht="14.25">
      <c r="F268" s="215"/>
    </row>
    <row r="269" ht="14.25">
      <c r="F269" s="215"/>
    </row>
    <row r="270" ht="14.25">
      <c r="F270" s="215"/>
    </row>
    <row r="271" ht="14.25">
      <c r="F271" s="215"/>
    </row>
    <row r="272" ht="14.25">
      <c r="F272" s="215"/>
    </row>
    <row r="273" ht="14.25">
      <c r="F273" s="215"/>
    </row>
    <row r="274" ht="14.25">
      <c r="F274" s="215"/>
    </row>
    <row r="275" ht="14.25">
      <c r="F275" s="215"/>
    </row>
    <row r="276" ht="14.25">
      <c r="F276" s="215"/>
    </row>
    <row r="277" ht="14.25">
      <c r="F277" s="215"/>
    </row>
    <row r="278" ht="14.25">
      <c r="F278" s="215"/>
    </row>
    <row r="279" ht="14.25">
      <c r="F279" s="215"/>
    </row>
    <row r="280" ht="14.25">
      <c r="F280" s="215"/>
    </row>
    <row r="281" ht="14.25">
      <c r="F281" s="215"/>
    </row>
    <row r="282" ht="14.25">
      <c r="F282" s="215"/>
    </row>
    <row r="283" ht="14.25">
      <c r="F283" s="215"/>
    </row>
    <row r="284" ht="14.25">
      <c r="F284" s="215"/>
    </row>
    <row r="285" ht="14.25">
      <c r="F285" s="215"/>
    </row>
    <row r="286" ht="14.25">
      <c r="F286" s="215"/>
    </row>
    <row r="287" ht="14.25">
      <c r="F287" s="215"/>
    </row>
    <row r="288" ht="14.25">
      <c r="F288" s="215"/>
    </row>
    <row r="289" ht="14.25">
      <c r="F289" s="215"/>
    </row>
    <row r="290" ht="14.25">
      <c r="F290" s="215"/>
    </row>
    <row r="291" ht="14.25">
      <c r="F291" s="215"/>
    </row>
    <row r="292" ht="14.25">
      <c r="F292" s="215"/>
    </row>
    <row r="293" ht="14.25">
      <c r="F293" s="215"/>
    </row>
    <row r="294" ht="14.25">
      <c r="F294" s="215"/>
    </row>
    <row r="295" ht="14.25">
      <c r="F295" s="215"/>
    </row>
    <row r="296" ht="14.25">
      <c r="F296" s="215"/>
    </row>
    <row r="297" ht="14.25">
      <c r="F297" s="215"/>
    </row>
    <row r="298" ht="14.25">
      <c r="F298" s="215"/>
    </row>
    <row r="299" ht="14.25">
      <c r="F299" s="215"/>
    </row>
    <row r="300" ht="14.25">
      <c r="F300" s="215"/>
    </row>
    <row r="301" ht="14.25">
      <c r="F301" s="215"/>
    </row>
    <row r="302" ht="14.25">
      <c r="F302" s="215"/>
    </row>
    <row r="303" ht="14.25">
      <c r="F303" s="215"/>
    </row>
    <row r="304" ht="14.25">
      <c r="F304" s="215"/>
    </row>
    <row r="305" ht="14.25">
      <c r="F305" s="215"/>
    </row>
    <row r="306" ht="14.25">
      <c r="F306" s="215"/>
    </row>
    <row r="307" ht="14.25">
      <c r="F307" s="215"/>
    </row>
    <row r="308" ht="14.25">
      <c r="F308" s="215"/>
    </row>
    <row r="309" ht="14.25">
      <c r="F309" s="215"/>
    </row>
    <row r="310" ht="14.25">
      <c r="F310" s="215"/>
    </row>
    <row r="311" ht="14.25">
      <c r="F311" s="215"/>
    </row>
    <row r="312" ht="14.25">
      <c r="F312" s="215"/>
    </row>
    <row r="313" ht="14.25">
      <c r="F313" s="215"/>
    </row>
    <row r="314" ht="14.25">
      <c r="F314" s="215"/>
    </row>
    <row r="315" ht="14.25">
      <c r="F315" s="215"/>
    </row>
    <row r="316" ht="14.25">
      <c r="F316" s="215"/>
    </row>
    <row r="317" ht="14.25">
      <c r="F317" s="215"/>
    </row>
    <row r="318" ht="14.25">
      <c r="F318" s="215"/>
    </row>
    <row r="319" ht="14.25">
      <c r="F319" s="215"/>
    </row>
    <row r="320" ht="14.25">
      <c r="F320" s="215"/>
    </row>
    <row r="321" ht="14.25">
      <c r="F321" s="215"/>
    </row>
    <row r="322" ht="14.25">
      <c r="F322" s="215"/>
    </row>
    <row r="323" ht="14.25">
      <c r="F323" s="215"/>
    </row>
    <row r="324" ht="14.25">
      <c r="F324" s="215"/>
    </row>
    <row r="325" ht="14.25">
      <c r="F325" s="215"/>
    </row>
    <row r="326" ht="14.25">
      <c r="F326" s="215"/>
    </row>
    <row r="327" ht="14.25">
      <c r="F327" s="215"/>
    </row>
    <row r="328" ht="14.25">
      <c r="F328" s="215"/>
    </row>
    <row r="329" ht="14.25">
      <c r="F329" s="215"/>
    </row>
    <row r="330" ht="14.25">
      <c r="F330" s="215"/>
    </row>
    <row r="331" ht="14.25">
      <c r="F331" s="215"/>
    </row>
    <row r="332" ht="14.25">
      <c r="F332" s="215"/>
    </row>
    <row r="333" ht="14.25">
      <c r="F333" s="215"/>
    </row>
    <row r="334" ht="14.25">
      <c r="F334" s="215"/>
    </row>
    <row r="335" ht="14.25">
      <c r="F335" s="215"/>
    </row>
    <row r="336" ht="14.25">
      <c r="F336" s="215"/>
    </row>
    <row r="337" ht="14.25">
      <c r="F337" s="215"/>
    </row>
    <row r="338" ht="14.25">
      <c r="F338" s="215"/>
    </row>
    <row r="339" ht="14.25">
      <c r="F339" s="215"/>
    </row>
    <row r="340" ht="14.25">
      <c r="F340" s="215"/>
    </row>
    <row r="341" ht="14.25">
      <c r="F341" s="215"/>
    </row>
    <row r="342" ht="14.25">
      <c r="F342" s="215"/>
    </row>
    <row r="343" ht="14.25">
      <c r="F343" s="215"/>
    </row>
    <row r="344" ht="14.25">
      <c r="F344" s="215"/>
    </row>
    <row r="345" ht="14.25">
      <c r="F345" s="215"/>
    </row>
    <row r="346" ht="14.25">
      <c r="F346" s="215"/>
    </row>
    <row r="347" ht="14.25">
      <c r="F347" s="215"/>
    </row>
    <row r="348" ht="14.25">
      <c r="F348" s="215"/>
    </row>
    <row r="349" ht="14.25">
      <c r="F349" s="215"/>
    </row>
    <row r="350" ht="14.25">
      <c r="F350" s="215"/>
    </row>
    <row r="351" ht="14.25">
      <c r="F351" s="215"/>
    </row>
    <row r="352" ht="14.25">
      <c r="F352" s="215"/>
    </row>
    <row r="353" ht="14.25">
      <c r="F353" s="215"/>
    </row>
    <row r="354" ht="14.25">
      <c r="F354" s="215"/>
    </row>
    <row r="355" ht="14.25">
      <c r="F355" s="215"/>
    </row>
    <row r="356" ht="14.25">
      <c r="F356" s="215"/>
    </row>
    <row r="357" ht="14.25">
      <c r="F357" s="215"/>
    </row>
    <row r="358" ht="14.25">
      <c r="F358" s="215"/>
    </row>
    <row r="359" ht="14.25">
      <c r="F359" s="215"/>
    </row>
    <row r="360" ht="14.25">
      <c r="F360" s="215"/>
    </row>
    <row r="361" ht="14.25">
      <c r="F361" s="215"/>
    </row>
    <row r="362" ht="14.25">
      <c r="F362" s="215"/>
    </row>
    <row r="363" ht="14.25">
      <c r="F363" s="215"/>
    </row>
    <row r="364" ht="14.25">
      <c r="F364" s="215"/>
    </row>
    <row r="365" ht="14.25">
      <c r="F365" s="215"/>
    </row>
    <row r="366" ht="14.25">
      <c r="F366" s="215"/>
    </row>
    <row r="367" ht="14.25">
      <c r="F367" s="215"/>
    </row>
    <row r="368" ht="14.25">
      <c r="F368" s="215"/>
    </row>
    <row r="369" ht="14.25">
      <c r="F369" s="215"/>
    </row>
    <row r="370" ht="14.25">
      <c r="F370" s="215"/>
    </row>
    <row r="371" ht="14.25">
      <c r="F371" s="215"/>
    </row>
    <row r="372" ht="14.25">
      <c r="F372" s="215"/>
    </row>
    <row r="373" ht="14.25">
      <c r="F373" s="215"/>
    </row>
    <row r="374" ht="14.25">
      <c r="F374" s="215"/>
    </row>
    <row r="375" ht="14.25">
      <c r="F375" s="215"/>
    </row>
    <row r="376" ht="14.25">
      <c r="F376" s="215"/>
    </row>
    <row r="377" ht="14.25">
      <c r="F377" s="215"/>
    </row>
    <row r="378" ht="14.25">
      <c r="F378" s="215"/>
    </row>
    <row r="379" ht="14.25">
      <c r="F379" s="215"/>
    </row>
    <row r="380" ht="14.25">
      <c r="F380" s="215"/>
    </row>
    <row r="381" ht="14.25">
      <c r="F381" s="215"/>
    </row>
    <row r="382" ht="14.25">
      <c r="F382" s="215"/>
    </row>
    <row r="383" ht="14.25">
      <c r="F383" s="215"/>
    </row>
    <row r="384" ht="14.25">
      <c r="F384" s="215"/>
    </row>
    <row r="385" ht="14.25">
      <c r="F385" s="215"/>
    </row>
    <row r="386" ht="14.25">
      <c r="F386" s="215"/>
    </row>
    <row r="387" ht="14.25">
      <c r="F387" s="215"/>
    </row>
    <row r="388" ht="14.25">
      <c r="F388" s="215"/>
    </row>
    <row r="389" ht="14.25">
      <c r="F389" s="215"/>
    </row>
    <row r="390" ht="14.25">
      <c r="F390" s="215"/>
    </row>
    <row r="391" ht="14.25">
      <c r="F391" s="215"/>
    </row>
    <row r="392" ht="14.25">
      <c r="F392" s="215"/>
    </row>
    <row r="393" ht="14.25">
      <c r="F393" s="215"/>
    </row>
    <row r="394" ht="14.25">
      <c r="F394" s="215"/>
    </row>
    <row r="395" ht="14.25">
      <c r="F395" s="215"/>
    </row>
    <row r="396" ht="14.25">
      <c r="F396" s="215"/>
    </row>
    <row r="397" ht="14.25">
      <c r="F397" s="215"/>
    </row>
    <row r="398" ht="14.25">
      <c r="F398" s="215"/>
    </row>
    <row r="399" ht="14.25">
      <c r="F399" s="215"/>
    </row>
    <row r="400" ht="14.25">
      <c r="F400" s="215"/>
    </row>
    <row r="401" ht="14.25">
      <c r="F401" s="215"/>
    </row>
    <row r="402" ht="14.25">
      <c r="F402" s="215"/>
    </row>
    <row r="403" ht="14.25">
      <c r="F403" s="215"/>
    </row>
    <row r="404" ht="14.25">
      <c r="F404" s="215"/>
    </row>
    <row r="405" ht="14.25">
      <c r="F405" s="215"/>
    </row>
    <row r="406" ht="14.25">
      <c r="F406" s="215"/>
    </row>
    <row r="407" ht="14.25">
      <c r="F407" s="215"/>
    </row>
    <row r="408" ht="14.25">
      <c r="F408" s="215"/>
    </row>
    <row r="409" ht="14.25">
      <c r="F409" s="215"/>
    </row>
    <row r="410" ht="14.25">
      <c r="F410" s="215"/>
    </row>
    <row r="411" ht="14.25">
      <c r="F411" s="215"/>
    </row>
    <row r="412" ht="14.25">
      <c r="F412" s="215"/>
    </row>
    <row r="413" ht="14.25">
      <c r="F413" s="215"/>
    </row>
    <row r="414" ht="14.25">
      <c r="F414" s="215"/>
    </row>
    <row r="415" ht="14.25">
      <c r="F415" s="215"/>
    </row>
    <row r="416" ht="14.25">
      <c r="F416" s="215"/>
    </row>
    <row r="417" ht="14.25">
      <c r="F417" s="215"/>
    </row>
    <row r="418" ht="14.25">
      <c r="F418" s="215"/>
    </row>
    <row r="419" ht="14.25">
      <c r="F419" s="215"/>
    </row>
    <row r="420" ht="14.25">
      <c r="F420" s="215"/>
    </row>
    <row r="421" ht="14.25">
      <c r="F421" s="215"/>
    </row>
    <row r="422" ht="14.25">
      <c r="F422" s="215"/>
    </row>
    <row r="423" ht="14.25">
      <c r="F423" s="215"/>
    </row>
    <row r="424" ht="14.25">
      <c r="F424" s="215"/>
    </row>
    <row r="425" ht="14.25">
      <c r="F425" s="215"/>
    </row>
    <row r="426" ht="14.25">
      <c r="F426" s="215"/>
    </row>
    <row r="427" ht="14.25">
      <c r="F427" s="215"/>
    </row>
    <row r="428" ht="14.25">
      <c r="F428" s="215"/>
    </row>
    <row r="429" ht="14.25">
      <c r="F429" s="215"/>
    </row>
    <row r="430" ht="14.25">
      <c r="F430" s="215"/>
    </row>
    <row r="431" ht="14.25">
      <c r="F431" s="215"/>
    </row>
    <row r="432" ht="14.25">
      <c r="F432" s="215"/>
    </row>
    <row r="433" ht="14.25">
      <c r="F433" s="215"/>
    </row>
    <row r="434" ht="14.25">
      <c r="F434" s="215"/>
    </row>
    <row r="435" ht="14.25">
      <c r="F435" s="215"/>
    </row>
    <row r="436" ht="14.25">
      <c r="F436" s="215"/>
    </row>
    <row r="437" ht="14.25">
      <c r="F437" s="215"/>
    </row>
    <row r="438" ht="14.25">
      <c r="F438" s="215"/>
    </row>
    <row r="439" ht="14.25">
      <c r="F439" s="215"/>
    </row>
    <row r="440" ht="14.25">
      <c r="F440" s="215"/>
    </row>
    <row r="441" ht="14.25">
      <c r="F441" s="215"/>
    </row>
    <row r="442" ht="14.25">
      <c r="F442" s="215"/>
    </row>
    <row r="443" ht="14.25">
      <c r="F443" s="215"/>
    </row>
    <row r="444" ht="14.25">
      <c r="F444" s="215"/>
    </row>
    <row r="445" ht="14.25">
      <c r="F445" s="215"/>
    </row>
    <row r="446" ht="14.25">
      <c r="F446" s="215"/>
    </row>
    <row r="447" ht="14.25">
      <c r="F447" s="215"/>
    </row>
    <row r="448" ht="14.25">
      <c r="F448" s="215"/>
    </row>
    <row r="449" ht="14.25">
      <c r="F449" s="215"/>
    </row>
    <row r="450" ht="14.25">
      <c r="F450" s="215"/>
    </row>
    <row r="451" ht="14.25">
      <c r="F451" s="215"/>
    </row>
    <row r="452" ht="14.25">
      <c r="F452" s="215"/>
    </row>
    <row r="453" ht="14.25">
      <c r="F453" s="215"/>
    </row>
    <row r="454" ht="14.25">
      <c r="F454" s="215"/>
    </row>
    <row r="455" ht="14.25">
      <c r="F455" s="215"/>
    </row>
    <row r="456" ht="14.25">
      <c r="F456" s="215"/>
    </row>
    <row r="457" ht="14.25">
      <c r="F457" s="215"/>
    </row>
    <row r="458" ht="14.25">
      <c r="F458" s="215"/>
    </row>
    <row r="459" ht="14.25">
      <c r="F459" s="215"/>
    </row>
    <row r="460" ht="14.25">
      <c r="F460" s="215"/>
    </row>
    <row r="461" ht="14.25">
      <c r="F461" s="215"/>
    </row>
    <row r="462" ht="14.25">
      <c r="F462" s="215"/>
    </row>
    <row r="463" ht="14.25">
      <c r="F463" s="215"/>
    </row>
    <row r="464" ht="14.25">
      <c r="F464" s="215"/>
    </row>
    <row r="465" ht="14.25">
      <c r="F465" s="215"/>
    </row>
    <row r="466" ht="14.25">
      <c r="F466" s="215"/>
    </row>
    <row r="467" ht="14.25">
      <c r="F467" s="215"/>
    </row>
    <row r="468" ht="14.25">
      <c r="F468" s="215"/>
    </row>
    <row r="469" ht="14.25">
      <c r="F469" s="215"/>
    </row>
    <row r="470" ht="14.25">
      <c r="F470" s="215"/>
    </row>
    <row r="471" ht="14.25">
      <c r="F471" s="215"/>
    </row>
    <row r="472" ht="14.25">
      <c r="F472" s="215"/>
    </row>
    <row r="473" ht="14.25">
      <c r="F473" s="215"/>
    </row>
    <row r="474" ht="14.25">
      <c r="F474" s="215"/>
    </row>
    <row r="475" ht="14.25">
      <c r="F475" s="215"/>
    </row>
    <row r="476" ht="14.25">
      <c r="F476" s="215"/>
    </row>
    <row r="477" ht="14.25">
      <c r="F477" s="215"/>
    </row>
    <row r="478" ht="14.25">
      <c r="F478" s="215"/>
    </row>
    <row r="479" ht="14.25">
      <c r="F479" s="215"/>
    </row>
    <row r="480" ht="14.25">
      <c r="F480" s="215"/>
    </row>
    <row r="481" ht="14.25">
      <c r="F481" s="215"/>
    </row>
    <row r="482" ht="14.25">
      <c r="F482" s="215"/>
    </row>
    <row r="483" ht="14.25">
      <c r="F483" s="215"/>
    </row>
    <row r="484" ht="14.25">
      <c r="F484" s="215"/>
    </row>
    <row r="485" ht="14.25">
      <c r="F485" s="215"/>
    </row>
    <row r="486" ht="14.25">
      <c r="F486" s="215"/>
    </row>
    <row r="487" ht="14.25">
      <c r="F487" s="215"/>
    </row>
    <row r="488" ht="14.25">
      <c r="F488" s="215"/>
    </row>
    <row r="489" ht="14.25">
      <c r="F489" s="215"/>
    </row>
    <row r="490" ht="14.25">
      <c r="F490" s="215"/>
    </row>
    <row r="491" ht="14.25">
      <c r="F491" s="215"/>
    </row>
    <row r="492" ht="14.25">
      <c r="F492" s="215"/>
    </row>
    <row r="493" ht="14.25">
      <c r="F493" s="215"/>
    </row>
    <row r="494" ht="14.25">
      <c r="F494" s="215"/>
    </row>
    <row r="495" ht="14.25">
      <c r="F495" s="215"/>
    </row>
    <row r="496" ht="14.25">
      <c r="F496" s="215"/>
    </row>
    <row r="497" ht="14.25">
      <c r="F497" s="215"/>
    </row>
    <row r="498" ht="14.25">
      <c r="F498" s="215"/>
    </row>
    <row r="499" ht="14.25">
      <c r="F499" s="215"/>
    </row>
    <row r="500" ht="14.25">
      <c r="F500" s="215"/>
    </row>
    <row r="501" ht="14.25">
      <c r="F501" s="215"/>
    </row>
    <row r="502" ht="14.25">
      <c r="F502" s="215"/>
    </row>
    <row r="503" ht="14.25">
      <c r="F503" s="215"/>
    </row>
    <row r="504" ht="14.25">
      <c r="F504" s="215"/>
    </row>
    <row r="505" ht="14.25">
      <c r="F505" s="215"/>
    </row>
    <row r="506" ht="14.25">
      <c r="F506" s="215"/>
    </row>
    <row r="507" ht="14.25">
      <c r="F507" s="215"/>
    </row>
    <row r="508" ht="14.25">
      <c r="F508" s="215"/>
    </row>
    <row r="509" ht="14.25">
      <c r="F509" s="215"/>
    </row>
    <row r="510" ht="14.25">
      <c r="F510" s="215"/>
    </row>
    <row r="511" ht="14.25">
      <c r="F511" s="215"/>
    </row>
    <row r="512" ht="14.25">
      <c r="F512" s="215"/>
    </row>
    <row r="513" ht="14.25">
      <c r="F513" s="215"/>
    </row>
    <row r="514" ht="14.25">
      <c r="F514" s="215"/>
    </row>
    <row r="515" ht="14.25">
      <c r="F515" s="215"/>
    </row>
    <row r="516" ht="14.25">
      <c r="F516" s="215"/>
    </row>
    <row r="517" ht="14.25">
      <c r="F517" s="215"/>
    </row>
    <row r="518" ht="14.25">
      <c r="F518" s="215"/>
    </row>
    <row r="519" ht="14.25">
      <c r="F519" s="215"/>
    </row>
    <row r="520" ht="14.25">
      <c r="F520" s="215"/>
    </row>
    <row r="521" ht="14.25">
      <c r="F521" s="215"/>
    </row>
    <row r="522" ht="14.25">
      <c r="F522" s="215"/>
    </row>
    <row r="523" ht="14.25">
      <c r="F523" s="215"/>
    </row>
    <row r="524" ht="14.25">
      <c r="F524" s="215"/>
    </row>
    <row r="525" ht="14.25">
      <c r="F525" s="215"/>
    </row>
    <row r="526" ht="14.25">
      <c r="F526" s="215"/>
    </row>
    <row r="527" ht="14.25">
      <c r="F527" s="215"/>
    </row>
    <row r="528" ht="14.25">
      <c r="F528" s="215"/>
    </row>
    <row r="529" ht="14.25">
      <c r="F529" s="215"/>
    </row>
    <row r="530" ht="14.25">
      <c r="F530" s="215"/>
    </row>
    <row r="531" ht="14.25">
      <c r="F531" s="215"/>
    </row>
    <row r="532" ht="14.25">
      <c r="F532" s="215"/>
    </row>
    <row r="533" ht="14.25">
      <c r="F533" s="215"/>
    </row>
    <row r="534" ht="14.25">
      <c r="F534" s="215"/>
    </row>
    <row r="535" ht="14.25">
      <c r="F535" s="215"/>
    </row>
    <row r="536" ht="14.25">
      <c r="F536" s="215"/>
    </row>
    <row r="537" ht="14.25">
      <c r="F537" s="215"/>
    </row>
    <row r="538" ht="14.25">
      <c r="F538" s="215"/>
    </row>
    <row r="539" ht="14.25">
      <c r="F539" s="215"/>
    </row>
    <row r="540" ht="14.25">
      <c r="F540" s="215"/>
    </row>
    <row r="541" ht="14.25">
      <c r="F541" s="215"/>
    </row>
    <row r="542" ht="14.25">
      <c r="F542" s="215"/>
    </row>
    <row r="543" ht="14.25">
      <c r="F543" s="215"/>
    </row>
    <row r="544" ht="14.25">
      <c r="F544" s="215"/>
    </row>
    <row r="545" ht="14.25">
      <c r="F545" s="215"/>
    </row>
    <row r="546" ht="14.25">
      <c r="F546" s="215"/>
    </row>
    <row r="547" ht="14.25">
      <c r="F547" s="215"/>
    </row>
    <row r="548" ht="14.25">
      <c r="F548" s="215"/>
    </row>
    <row r="549" ht="14.25">
      <c r="F549" s="215"/>
    </row>
    <row r="550" ht="14.25">
      <c r="F550" s="215"/>
    </row>
    <row r="551" ht="14.25">
      <c r="F551" s="215"/>
    </row>
    <row r="552" ht="14.25">
      <c r="F552" s="215"/>
    </row>
    <row r="553" ht="14.25">
      <c r="F553" s="215"/>
    </row>
    <row r="554" ht="14.25">
      <c r="F554" s="215"/>
    </row>
    <row r="555" ht="14.25">
      <c r="F555" s="215"/>
    </row>
    <row r="556" ht="14.25">
      <c r="F556" s="215"/>
    </row>
    <row r="557" ht="14.25">
      <c r="F557" s="215"/>
    </row>
    <row r="558" ht="14.25">
      <c r="F558" s="215"/>
    </row>
    <row r="559" ht="14.25">
      <c r="F559" s="215"/>
    </row>
    <row r="560" ht="14.25">
      <c r="F560" s="215"/>
    </row>
    <row r="561" ht="14.25">
      <c r="F561" s="215"/>
    </row>
    <row r="562" ht="14.25">
      <c r="F562" s="215"/>
    </row>
    <row r="563" ht="14.25">
      <c r="F563" s="215"/>
    </row>
    <row r="564" ht="14.25">
      <c r="F564" s="215"/>
    </row>
    <row r="565" ht="14.25">
      <c r="F565" s="215"/>
    </row>
    <row r="566" ht="14.25">
      <c r="F566" s="215"/>
    </row>
    <row r="567" ht="14.25">
      <c r="F567" s="215"/>
    </row>
    <row r="568" ht="14.25">
      <c r="F568" s="215"/>
    </row>
    <row r="569" ht="14.25">
      <c r="F569" s="215"/>
    </row>
    <row r="570" ht="14.25">
      <c r="F570" s="215"/>
    </row>
    <row r="571" ht="14.25">
      <c r="F571" s="215"/>
    </row>
    <row r="572" ht="14.25">
      <c r="F572" s="215"/>
    </row>
    <row r="573" ht="14.25">
      <c r="F573" s="215"/>
    </row>
    <row r="574" ht="14.25">
      <c r="F574" s="215"/>
    </row>
    <row r="575" ht="14.25">
      <c r="F575" s="215"/>
    </row>
    <row r="576" ht="14.25">
      <c r="F576" s="215"/>
    </row>
    <row r="577" ht="14.25">
      <c r="F577" s="215"/>
    </row>
    <row r="578" ht="14.25">
      <c r="F578" s="215"/>
    </row>
    <row r="579" ht="14.25">
      <c r="F579" s="215"/>
    </row>
    <row r="580" ht="14.25">
      <c r="F580" s="215"/>
    </row>
    <row r="581" ht="14.25">
      <c r="F581" s="215"/>
    </row>
    <row r="582" ht="14.25">
      <c r="F582" s="215"/>
    </row>
    <row r="583" ht="14.25">
      <c r="F583" s="215"/>
    </row>
    <row r="584" ht="14.25">
      <c r="F584" s="215"/>
    </row>
    <row r="585" ht="14.25">
      <c r="F585" s="215"/>
    </row>
    <row r="586" ht="14.25">
      <c r="F586" s="215"/>
    </row>
    <row r="587" ht="14.25">
      <c r="F587" s="215"/>
    </row>
    <row r="588" ht="14.25">
      <c r="F588" s="215"/>
    </row>
    <row r="589" ht="14.25">
      <c r="F589" s="215"/>
    </row>
    <row r="590" ht="14.25">
      <c r="F590" s="215"/>
    </row>
    <row r="591" ht="14.25">
      <c r="F591" s="215"/>
    </row>
    <row r="592" ht="14.25">
      <c r="F592" s="215"/>
    </row>
    <row r="593" ht="14.25">
      <c r="F593" s="215"/>
    </row>
    <row r="594" ht="14.25">
      <c r="F594" s="215"/>
    </row>
    <row r="595" ht="14.25">
      <c r="F595" s="215"/>
    </row>
    <row r="596" ht="14.25">
      <c r="F596" s="215"/>
    </row>
    <row r="597" ht="14.25">
      <c r="F597" s="215"/>
    </row>
    <row r="598" ht="14.25">
      <c r="F598" s="215"/>
    </row>
    <row r="599" ht="14.25">
      <c r="F599" s="215"/>
    </row>
    <row r="600" ht="14.25">
      <c r="F600" s="215"/>
    </row>
    <row r="601" ht="14.25">
      <c r="F601" s="215"/>
    </row>
    <row r="602" ht="14.25">
      <c r="F602" s="215"/>
    </row>
    <row r="603" ht="14.25">
      <c r="F603" s="215"/>
    </row>
    <row r="604" ht="14.25">
      <c r="F604" s="215"/>
    </row>
    <row r="605" ht="14.25">
      <c r="F605" s="215"/>
    </row>
    <row r="606" ht="14.25">
      <c r="F606" s="215"/>
    </row>
    <row r="607" ht="14.25">
      <c r="F607" s="215"/>
    </row>
    <row r="608" ht="14.25">
      <c r="F608" s="215"/>
    </row>
    <row r="609" ht="14.25">
      <c r="F609" s="215"/>
    </row>
    <row r="610" ht="14.25">
      <c r="F610" s="215"/>
    </row>
    <row r="611" ht="14.25">
      <c r="F611" s="215"/>
    </row>
    <row r="612" ht="14.25">
      <c r="F612" s="215"/>
    </row>
    <row r="613" ht="14.25">
      <c r="F613" s="215"/>
    </row>
    <row r="614" ht="14.25">
      <c r="F614" s="215"/>
    </row>
    <row r="615" ht="14.25">
      <c r="F615" s="215"/>
    </row>
    <row r="616" ht="14.25">
      <c r="F616" s="215"/>
    </row>
    <row r="617" ht="14.25">
      <c r="F617" s="215"/>
    </row>
    <row r="618" ht="14.25">
      <c r="F618" s="215"/>
    </row>
    <row r="619" ht="14.25">
      <c r="F619" s="215"/>
    </row>
    <row r="620" ht="14.25">
      <c r="F620" s="215"/>
    </row>
    <row r="621" ht="14.25">
      <c r="F621" s="215"/>
    </row>
    <row r="622" ht="14.25">
      <c r="F622" s="215"/>
    </row>
    <row r="623" ht="14.25">
      <c r="F623" s="215"/>
    </row>
    <row r="624" ht="14.25">
      <c r="F624" s="215"/>
    </row>
    <row r="625" ht="14.25">
      <c r="F625" s="215"/>
    </row>
    <row r="626" ht="14.25">
      <c r="F626" s="215"/>
    </row>
    <row r="627" ht="14.25">
      <c r="F627" s="215"/>
    </row>
    <row r="628" ht="14.25">
      <c r="F628" s="215"/>
    </row>
    <row r="629" ht="14.25">
      <c r="F629" s="215"/>
    </row>
    <row r="630" ht="14.25">
      <c r="F630" s="215"/>
    </row>
    <row r="631" ht="14.25">
      <c r="F631" s="215"/>
    </row>
    <row r="632" ht="14.25">
      <c r="F632" s="215"/>
    </row>
    <row r="633" ht="14.25">
      <c r="F633" s="215"/>
    </row>
    <row r="634" ht="14.25">
      <c r="F634" s="215"/>
    </row>
    <row r="635" ht="14.25">
      <c r="F635" s="215"/>
    </row>
    <row r="636" ht="14.25">
      <c r="F636" s="215"/>
    </row>
    <row r="637" ht="14.25">
      <c r="F637" s="215"/>
    </row>
    <row r="638" ht="14.25">
      <c r="F638" s="215"/>
    </row>
    <row r="639" ht="14.25">
      <c r="F639" s="215"/>
    </row>
    <row r="640" ht="14.25">
      <c r="F640" s="215"/>
    </row>
    <row r="641" ht="14.25">
      <c r="F641" s="215"/>
    </row>
    <row r="642" ht="14.25">
      <c r="F642" s="215"/>
    </row>
    <row r="643" ht="14.25">
      <c r="F643" s="215"/>
    </row>
    <row r="644" ht="14.25">
      <c r="F644" s="215"/>
    </row>
    <row r="645" ht="14.25">
      <c r="F645" s="215"/>
    </row>
    <row r="646" ht="14.25">
      <c r="F646" s="215"/>
    </row>
    <row r="647" ht="14.25">
      <c r="F647" s="215"/>
    </row>
    <row r="648" ht="14.25">
      <c r="F648" s="215"/>
    </row>
    <row r="649" ht="14.25">
      <c r="F649" s="215"/>
    </row>
    <row r="650" ht="14.25">
      <c r="F650" s="215"/>
    </row>
    <row r="651" ht="14.25">
      <c r="F651" s="215"/>
    </row>
    <row r="652" ht="14.25">
      <c r="F652" s="215"/>
    </row>
    <row r="653" ht="14.25">
      <c r="F653" s="215"/>
    </row>
    <row r="654" ht="14.25">
      <c r="F654" s="215"/>
    </row>
    <row r="655" ht="14.25">
      <c r="F655" s="215"/>
    </row>
    <row r="656" ht="14.25">
      <c r="F656" s="215"/>
    </row>
    <row r="657" ht="14.25">
      <c r="F657" s="215"/>
    </row>
    <row r="658" ht="14.25">
      <c r="F658" s="215"/>
    </row>
    <row r="659" ht="14.25">
      <c r="F659" s="215"/>
    </row>
    <row r="660" ht="14.25">
      <c r="F660" s="215"/>
    </row>
    <row r="661" ht="14.25">
      <c r="F661" s="215"/>
    </row>
    <row r="662" ht="14.25">
      <c r="F662" s="215"/>
    </row>
    <row r="663" ht="14.25">
      <c r="F663" s="215"/>
    </row>
    <row r="664" ht="14.25">
      <c r="F664" s="215"/>
    </row>
    <row r="665" ht="14.25">
      <c r="F665" s="215"/>
    </row>
    <row r="666" ht="14.25">
      <c r="F666" s="215"/>
    </row>
    <row r="667" ht="14.25">
      <c r="F667" s="215"/>
    </row>
    <row r="668" ht="14.25">
      <c r="F668" s="215"/>
    </row>
    <row r="669" ht="14.25">
      <c r="F669" s="215"/>
    </row>
    <row r="670" ht="14.25">
      <c r="F670" s="215"/>
    </row>
    <row r="671" ht="14.25">
      <c r="F671" s="215"/>
    </row>
    <row r="672" ht="14.25">
      <c r="F672" s="215"/>
    </row>
    <row r="673" ht="14.25">
      <c r="F673" s="215"/>
    </row>
    <row r="674" ht="14.25">
      <c r="F674" s="215"/>
    </row>
    <row r="675" ht="14.25">
      <c r="F675" s="215"/>
    </row>
    <row r="676" ht="14.25">
      <c r="F676" s="215"/>
    </row>
    <row r="677" ht="14.25">
      <c r="F677" s="215"/>
    </row>
    <row r="678" ht="14.25">
      <c r="F678" s="215"/>
    </row>
    <row r="679" ht="14.25">
      <c r="F679" s="215"/>
    </row>
    <row r="680" ht="14.25">
      <c r="F680" s="215"/>
    </row>
    <row r="681" ht="14.25">
      <c r="F681" s="215"/>
    </row>
    <row r="682" ht="14.25">
      <c r="F682" s="215"/>
    </row>
    <row r="683" ht="14.25">
      <c r="F683" s="215"/>
    </row>
    <row r="684" ht="14.25">
      <c r="F684" s="215"/>
    </row>
    <row r="685" ht="14.25">
      <c r="F685" s="215"/>
    </row>
    <row r="686" ht="14.25">
      <c r="F686" s="215"/>
    </row>
    <row r="687" ht="14.25">
      <c r="F687" s="215"/>
    </row>
    <row r="688" ht="14.25">
      <c r="F688" s="215"/>
    </row>
    <row r="689" ht="14.25">
      <c r="F689" s="215"/>
    </row>
    <row r="690" ht="14.25">
      <c r="F690" s="215"/>
    </row>
    <row r="691" ht="14.25">
      <c r="F691" s="215"/>
    </row>
    <row r="692" ht="14.25">
      <c r="F692" s="215"/>
    </row>
    <row r="693" ht="14.25">
      <c r="F693" s="215"/>
    </row>
    <row r="694" ht="14.25">
      <c r="F694" s="215"/>
    </row>
    <row r="695" ht="14.25">
      <c r="F695" s="215"/>
    </row>
    <row r="696" ht="14.25">
      <c r="F696" s="215"/>
    </row>
    <row r="697" ht="14.25">
      <c r="F697" s="215"/>
    </row>
    <row r="698" ht="14.25">
      <c r="F698" s="215"/>
    </row>
    <row r="699" ht="14.25">
      <c r="F699" s="215"/>
    </row>
    <row r="700" ht="14.25">
      <c r="F700" s="215"/>
    </row>
    <row r="701" ht="14.25">
      <c r="F701" s="215"/>
    </row>
    <row r="702" ht="14.25">
      <c r="F702" s="215"/>
    </row>
    <row r="703" ht="14.25">
      <c r="F703" s="215"/>
    </row>
    <row r="704" ht="14.25">
      <c r="F704" s="215"/>
    </row>
    <row r="705" ht="14.25">
      <c r="F705" s="215"/>
    </row>
    <row r="706" ht="14.25">
      <c r="F706" s="215"/>
    </row>
    <row r="707" ht="14.25">
      <c r="F707" s="215"/>
    </row>
    <row r="708" ht="14.25">
      <c r="F708" s="215"/>
    </row>
    <row r="709" ht="14.25">
      <c r="F709" s="215"/>
    </row>
    <row r="710" ht="14.25">
      <c r="F710" s="215"/>
    </row>
    <row r="711" ht="14.25">
      <c r="F711" s="215"/>
    </row>
    <row r="712" ht="14.25">
      <c r="F712" s="215"/>
    </row>
    <row r="713" ht="14.25">
      <c r="F713" s="215"/>
    </row>
    <row r="714" ht="14.25">
      <c r="F714" s="215"/>
    </row>
    <row r="715" ht="14.25">
      <c r="F715" s="215"/>
    </row>
    <row r="716" ht="14.25">
      <c r="F716" s="215"/>
    </row>
    <row r="717" ht="14.25">
      <c r="F717" s="215"/>
    </row>
    <row r="718" ht="14.25">
      <c r="F718" s="215"/>
    </row>
    <row r="719" ht="14.25">
      <c r="F719" s="215"/>
    </row>
    <row r="720" ht="14.25">
      <c r="F720" s="215"/>
    </row>
    <row r="721" ht="14.25">
      <c r="F721" s="215"/>
    </row>
    <row r="722" ht="14.25">
      <c r="F722" s="215"/>
    </row>
    <row r="723" ht="14.25">
      <c r="F723" s="215"/>
    </row>
    <row r="724" ht="14.25">
      <c r="F724" s="215"/>
    </row>
    <row r="725" ht="14.25">
      <c r="F725" s="215"/>
    </row>
    <row r="726" ht="14.25">
      <c r="F726" s="215"/>
    </row>
    <row r="727" ht="14.25">
      <c r="F727" s="215"/>
    </row>
    <row r="728" ht="14.25">
      <c r="F728" s="215"/>
    </row>
    <row r="729" ht="14.25">
      <c r="F729" s="215"/>
    </row>
    <row r="730" ht="14.25">
      <c r="F730" s="215"/>
    </row>
    <row r="731" ht="14.25">
      <c r="F731" s="215"/>
    </row>
    <row r="732" ht="14.25">
      <c r="F732" s="215"/>
    </row>
    <row r="733" ht="14.25">
      <c r="F733" s="215"/>
    </row>
    <row r="734" ht="14.25">
      <c r="F734" s="215"/>
    </row>
    <row r="735" ht="14.25">
      <c r="F735" s="215"/>
    </row>
    <row r="736" ht="14.25">
      <c r="F736" s="215"/>
    </row>
    <row r="737" ht="14.25">
      <c r="F737" s="215"/>
    </row>
    <row r="738" ht="14.25">
      <c r="F738" s="215"/>
    </row>
    <row r="739" ht="14.25">
      <c r="F739" s="215"/>
    </row>
    <row r="740" ht="14.25">
      <c r="F740" s="215"/>
    </row>
    <row r="741" ht="14.25">
      <c r="F741" s="215"/>
    </row>
    <row r="742" ht="14.25">
      <c r="F742" s="215"/>
    </row>
    <row r="743" ht="14.25">
      <c r="F743" s="215"/>
    </row>
    <row r="744" ht="14.25">
      <c r="F744" s="215"/>
    </row>
    <row r="745" ht="14.25">
      <c r="F745" s="215"/>
    </row>
    <row r="746" ht="14.25">
      <c r="F746" s="215"/>
    </row>
    <row r="747" ht="14.25">
      <c r="F747" s="215"/>
    </row>
    <row r="748" ht="14.25">
      <c r="F748" s="215"/>
    </row>
    <row r="749" ht="14.25">
      <c r="F749" s="215"/>
    </row>
    <row r="750" ht="14.25">
      <c r="F750" s="215"/>
    </row>
    <row r="751" ht="14.25">
      <c r="F751" s="215"/>
    </row>
    <row r="752" ht="14.25">
      <c r="F752" s="215"/>
    </row>
    <row r="753" ht="14.25">
      <c r="F753" s="215"/>
    </row>
    <row r="754" ht="14.25">
      <c r="F754" s="215"/>
    </row>
    <row r="755" ht="14.25">
      <c r="F755" s="215"/>
    </row>
    <row r="756" ht="14.25">
      <c r="F756" s="215"/>
    </row>
    <row r="757" ht="14.25">
      <c r="F757" s="215"/>
    </row>
    <row r="758" ht="14.25">
      <c r="F758" s="215"/>
    </row>
    <row r="759" ht="14.25">
      <c r="F759" s="215"/>
    </row>
    <row r="760" ht="14.25">
      <c r="F760" s="215"/>
    </row>
    <row r="761" ht="14.25">
      <c r="F761" s="215"/>
    </row>
    <row r="762" ht="14.25">
      <c r="F762" s="215"/>
    </row>
    <row r="763" ht="14.25">
      <c r="F763" s="215"/>
    </row>
    <row r="764" ht="14.25">
      <c r="F764" s="215"/>
    </row>
    <row r="765" ht="14.25">
      <c r="F765" s="215"/>
    </row>
    <row r="766" ht="14.25">
      <c r="F766" s="215"/>
    </row>
    <row r="767" ht="14.25">
      <c r="F767" s="215"/>
    </row>
    <row r="768" ht="14.25">
      <c r="F768" s="215"/>
    </row>
    <row r="769" ht="14.25">
      <c r="F769" s="215"/>
    </row>
    <row r="770" ht="14.25">
      <c r="F770" s="215"/>
    </row>
    <row r="771" ht="14.25">
      <c r="F771" s="215"/>
    </row>
    <row r="772" ht="14.25">
      <c r="F772" s="215"/>
    </row>
    <row r="773" ht="14.25">
      <c r="F773" s="215"/>
    </row>
    <row r="774" ht="14.25">
      <c r="F774" s="215"/>
    </row>
    <row r="775" ht="14.25">
      <c r="F775" s="215"/>
    </row>
    <row r="776" ht="14.25">
      <c r="F776" s="215"/>
    </row>
    <row r="777" ht="14.25">
      <c r="F777" s="215"/>
    </row>
    <row r="778" ht="14.25">
      <c r="F778" s="215"/>
    </row>
    <row r="779" ht="14.25">
      <c r="F779" s="215"/>
    </row>
    <row r="780" ht="14.25">
      <c r="F780" s="215"/>
    </row>
    <row r="781" ht="14.25">
      <c r="F781" s="215"/>
    </row>
    <row r="782" ht="14.25">
      <c r="F782" s="215"/>
    </row>
    <row r="783" ht="14.25">
      <c r="F783" s="215"/>
    </row>
    <row r="784" ht="14.25">
      <c r="F784" s="215"/>
    </row>
    <row r="785" ht="14.25">
      <c r="F785" s="215"/>
    </row>
    <row r="786" ht="14.25">
      <c r="F786" s="215"/>
    </row>
    <row r="787" ht="14.25">
      <c r="F787" s="215"/>
    </row>
    <row r="788" ht="14.25">
      <c r="F788" s="215"/>
    </row>
    <row r="789" ht="14.25">
      <c r="F789" s="215"/>
    </row>
    <row r="790" ht="14.25">
      <c r="F790" s="215"/>
    </row>
    <row r="791" ht="14.25">
      <c r="F791" s="215"/>
    </row>
    <row r="792" ht="14.25">
      <c r="F792" s="215"/>
    </row>
    <row r="793" ht="14.25">
      <c r="F793" s="215"/>
    </row>
    <row r="794" ht="14.25">
      <c r="F794" s="215"/>
    </row>
    <row r="795" ht="14.25">
      <c r="F795" s="215"/>
    </row>
    <row r="796" ht="14.25">
      <c r="F796" s="215"/>
    </row>
    <row r="797" ht="14.25">
      <c r="F797" s="215"/>
    </row>
    <row r="798" ht="14.25">
      <c r="F798" s="215"/>
    </row>
    <row r="799" ht="14.25">
      <c r="F799" s="215"/>
    </row>
    <row r="800" ht="14.25">
      <c r="F800" s="215"/>
    </row>
    <row r="801" ht="14.25">
      <c r="F801" s="215"/>
    </row>
    <row r="802" ht="14.25">
      <c r="F802" s="215"/>
    </row>
    <row r="803" ht="14.25">
      <c r="F803" s="215"/>
    </row>
    <row r="804" ht="14.25">
      <c r="F804" s="215"/>
    </row>
    <row r="805" ht="14.25">
      <c r="F805" s="215"/>
    </row>
    <row r="806" ht="14.25">
      <c r="F806" s="215"/>
    </row>
    <row r="807" ht="14.25">
      <c r="F807" s="215"/>
    </row>
    <row r="808" ht="14.25">
      <c r="F808" s="215"/>
    </row>
    <row r="809" ht="14.25">
      <c r="F809" s="215"/>
    </row>
    <row r="810" ht="14.25">
      <c r="F810" s="215"/>
    </row>
    <row r="811" ht="14.25">
      <c r="F811" s="215"/>
    </row>
    <row r="812" ht="14.25">
      <c r="F812" s="215"/>
    </row>
    <row r="813" ht="14.25">
      <c r="F813" s="215"/>
    </row>
    <row r="814" ht="14.25">
      <c r="F814" s="215"/>
    </row>
    <row r="815" ht="14.25">
      <c r="F815" s="215"/>
    </row>
    <row r="816" ht="14.25">
      <c r="F816" s="215"/>
    </row>
    <row r="817" ht="14.25">
      <c r="F817" s="215"/>
    </row>
    <row r="818" ht="14.25">
      <c r="F818" s="215"/>
    </row>
    <row r="819" ht="14.25">
      <c r="F819" s="215"/>
    </row>
    <row r="820" ht="14.25">
      <c r="F820" s="215"/>
    </row>
    <row r="821" ht="14.25">
      <c r="F821" s="215"/>
    </row>
    <row r="822" ht="14.25">
      <c r="F822" s="215"/>
    </row>
    <row r="823" ht="14.25">
      <c r="F823" s="215"/>
    </row>
    <row r="824" ht="14.25">
      <c r="F824" s="215"/>
    </row>
    <row r="825" ht="14.25">
      <c r="F825" s="215"/>
    </row>
    <row r="826" ht="14.25">
      <c r="F826" s="215"/>
    </row>
    <row r="827" ht="14.25">
      <c r="F827" s="215"/>
    </row>
    <row r="828" ht="14.25">
      <c r="F828" s="215"/>
    </row>
    <row r="829" ht="14.25">
      <c r="F829" s="215"/>
    </row>
    <row r="830" ht="14.25">
      <c r="F830" s="215"/>
    </row>
    <row r="831" ht="14.25">
      <c r="F831" s="215"/>
    </row>
    <row r="832" ht="14.25">
      <c r="F832" s="215"/>
    </row>
    <row r="833" ht="14.25">
      <c r="F833" s="215"/>
    </row>
    <row r="834" ht="14.25">
      <c r="F834" s="215"/>
    </row>
    <row r="835" ht="14.25">
      <c r="F835" s="215"/>
    </row>
    <row r="836" ht="14.25">
      <c r="F836" s="215"/>
    </row>
    <row r="837" ht="14.25">
      <c r="F837" s="215"/>
    </row>
    <row r="838" ht="14.25">
      <c r="F838" s="215"/>
    </row>
    <row r="839" ht="14.25">
      <c r="F839" s="215"/>
    </row>
    <row r="840" ht="14.25">
      <c r="F840" s="215"/>
    </row>
    <row r="841" ht="14.25">
      <c r="F841" s="215"/>
    </row>
    <row r="842" ht="14.25">
      <c r="F842" s="215"/>
    </row>
    <row r="843" ht="14.25">
      <c r="F843" s="215"/>
    </row>
    <row r="844" ht="14.25">
      <c r="F844" s="215"/>
    </row>
    <row r="845" ht="14.25">
      <c r="F845" s="215"/>
    </row>
    <row r="846" ht="14.25">
      <c r="F846" s="215"/>
    </row>
    <row r="847" ht="14.25">
      <c r="F847" s="215"/>
    </row>
    <row r="848" ht="14.25">
      <c r="F848" s="215"/>
    </row>
    <row r="849" ht="14.25">
      <c r="F849" s="215"/>
    </row>
    <row r="850" ht="14.25">
      <c r="F850" s="215"/>
    </row>
    <row r="851" ht="14.25">
      <c r="F851" s="215"/>
    </row>
    <row r="852" ht="14.25">
      <c r="F852" s="215"/>
    </row>
    <row r="853" ht="14.25">
      <c r="F853" s="215"/>
    </row>
    <row r="854" ht="14.25">
      <c r="F854" s="215"/>
    </row>
    <row r="855" ht="14.25">
      <c r="F855" s="215"/>
    </row>
    <row r="856" ht="14.25">
      <c r="F856" s="215"/>
    </row>
    <row r="857" ht="14.25">
      <c r="F857" s="215"/>
    </row>
    <row r="858" ht="14.25">
      <c r="F858" s="215"/>
    </row>
    <row r="859" ht="14.25">
      <c r="F859" s="215"/>
    </row>
    <row r="860" ht="14.25">
      <c r="F860" s="215"/>
    </row>
    <row r="861" ht="14.25">
      <c r="F861" s="215"/>
    </row>
    <row r="862" ht="14.25">
      <c r="F862" s="215"/>
    </row>
    <row r="863" ht="14.25">
      <c r="F863" s="215"/>
    </row>
    <row r="864" ht="14.25">
      <c r="F864" s="215"/>
    </row>
    <row r="865" ht="14.25">
      <c r="F865" s="215"/>
    </row>
    <row r="866" ht="14.25">
      <c r="F866" s="215"/>
    </row>
    <row r="867" ht="14.25">
      <c r="F867" s="215"/>
    </row>
    <row r="868" ht="14.25">
      <c r="F868" s="215"/>
    </row>
    <row r="869" ht="14.25">
      <c r="F869" s="215"/>
    </row>
    <row r="870" ht="14.25">
      <c r="F870" s="215"/>
    </row>
    <row r="871" ht="14.25">
      <c r="F871" s="215"/>
    </row>
    <row r="872" ht="14.25">
      <c r="F872" s="215"/>
    </row>
    <row r="873" ht="14.25">
      <c r="F873" s="215"/>
    </row>
    <row r="874" ht="14.25">
      <c r="F874" s="215"/>
    </row>
    <row r="875" ht="14.25">
      <c r="F875" s="215"/>
    </row>
    <row r="876" ht="14.25">
      <c r="F876" s="215"/>
    </row>
    <row r="877" ht="14.25">
      <c r="F877" s="215"/>
    </row>
    <row r="878" ht="14.25">
      <c r="F878" s="215"/>
    </row>
    <row r="879" ht="14.25">
      <c r="F879" s="215"/>
    </row>
    <row r="880" ht="14.25">
      <c r="F880" s="215"/>
    </row>
    <row r="881" ht="14.25">
      <c r="F881" s="215"/>
    </row>
    <row r="882" ht="14.25">
      <c r="F882" s="215"/>
    </row>
    <row r="883" ht="14.25">
      <c r="F883" s="215"/>
    </row>
    <row r="884" ht="14.25">
      <c r="F884" s="215"/>
    </row>
    <row r="885" ht="14.25">
      <c r="F885" s="215"/>
    </row>
    <row r="886" ht="14.25">
      <c r="F886" s="215"/>
    </row>
    <row r="887" ht="14.25">
      <c r="F887" s="215"/>
    </row>
    <row r="888" ht="14.25">
      <c r="F888" s="215"/>
    </row>
    <row r="889" ht="14.25">
      <c r="F889" s="215"/>
    </row>
    <row r="890" ht="14.25">
      <c r="F890" s="215"/>
    </row>
    <row r="891" ht="14.25">
      <c r="F891" s="215"/>
    </row>
    <row r="892" ht="14.25">
      <c r="F892" s="215"/>
    </row>
    <row r="893" ht="14.25">
      <c r="F893" s="215"/>
    </row>
    <row r="894" ht="14.25">
      <c r="F894" s="215"/>
    </row>
    <row r="895" ht="14.25">
      <c r="F895" s="215"/>
    </row>
    <row r="896" ht="14.25">
      <c r="F896" s="215"/>
    </row>
    <row r="897" ht="14.25">
      <c r="F897" s="215"/>
    </row>
    <row r="898" ht="14.25">
      <c r="F898" s="215"/>
    </row>
    <row r="899" ht="14.25">
      <c r="F899" s="215"/>
    </row>
    <row r="900" ht="14.25">
      <c r="F900" s="215"/>
    </row>
    <row r="901" ht="14.25">
      <c r="F901" s="215"/>
    </row>
    <row r="902" ht="14.25">
      <c r="F902" s="215"/>
    </row>
    <row r="903" ht="14.25">
      <c r="F903" s="215"/>
    </row>
    <row r="904" ht="14.25">
      <c r="F904" s="215"/>
    </row>
    <row r="905" ht="14.25">
      <c r="F905" s="215"/>
    </row>
    <row r="906" ht="14.25">
      <c r="F906" s="215"/>
    </row>
    <row r="907" ht="14.25">
      <c r="F907" s="215"/>
    </row>
    <row r="908" ht="14.25">
      <c r="F908" s="215"/>
    </row>
    <row r="909" ht="14.25">
      <c r="F909" s="215"/>
    </row>
    <row r="910" ht="14.25">
      <c r="F910" s="215"/>
    </row>
    <row r="911" ht="14.25">
      <c r="F911" s="215"/>
    </row>
    <row r="912" ht="14.25">
      <c r="F912" s="215"/>
    </row>
    <row r="913" ht="14.25">
      <c r="F913" s="215"/>
    </row>
    <row r="914" ht="14.25">
      <c r="F914" s="215"/>
    </row>
    <row r="915" ht="14.25">
      <c r="F915" s="215"/>
    </row>
    <row r="916" ht="14.25">
      <c r="F916" s="215"/>
    </row>
    <row r="917" ht="14.25">
      <c r="F917" s="215"/>
    </row>
    <row r="918" ht="14.25">
      <c r="F918" s="215"/>
    </row>
    <row r="919" ht="14.25">
      <c r="F919" s="215"/>
    </row>
    <row r="920" ht="14.25">
      <c r="F920" s="215"/>
    </row>
    <row r="921" ht="14.25">
      <c r="F921" s="215"/>
    </row>
    <row r="922" ht="14.25">
      <c r="F922" s="215"/>
    </row>
    <row r="923" ht="14.25">
      <c r="F923" s="215"/>
    </row>
    <row r="924" ht="14.25">
      <c r="F924" s="215"/>
    </row>
    <row r="925" ht="14.25">
      <c r="F925" s="215"/>
    </row>
    <row r="926" ht="14.25">
      <c r="F926" s="215"/>
    </row>
    <row r="927" ht="14.25">
      <c r="F927" s="215"/>
    </row>
    <row r="928" ht="14.25">
      <c r="F928" s="215"/>
    </row>
    <row r="929" ht="14.25">
      <c r="F929" s="215"/>
    </row>
    <row r="930" ht="14.25">
      <c r="F930" s="215"/>
    </row>
    <row r="931" ht="14.25">
      <c r="F931" s="215"/>
    </row>
    <row r="932" ht="14.25">
      <c r="F932" s="215"/>
    </row>
    <row r="933" ht="14.25">
      <c r="F933" s="215"/>
    </row>
    <row r="934" ht="14.25">
      <c r="F934" s="215"/>
    </row>
    <row r="935" ht="14.25">
      <c r="F935" s="215"/>
    </row>
    <row r="936" ht="14.25">
      <c r="F936" s="215"/>
    </row>
    <row r="937" ht="14.25">
      <c r="F937" s="215"/>
    </row>
    <row r="938" ht="14.25">
      <c r="F938" s="215"/>
    </row>
    <row r="939" ht="14.25">
      <c r="F939" s="215"/>
    </row>
    <row r="940" ht="14.25">
      <c r="F940" s="215"/>
    </row>
    <row r="941" ht="14.25">
      <c r="F941" s="215"/>
    </row>
    <row r="942" ht="14.25">
      <c r="F942" s="215"/>
    </row>
    <row r="943" ht="14.25">
      <c r="F943" s="215"/>
    </row>
    <row r="944" ht="14.25">
      <c r="F944" s="215"/>
    </row>
    <row r="945" ht="14.25">
      <c r="F945" s="215"/>
    </row>
    <row r="946" ht="14.25">
      <c r="F946" s="215"/>
    </row>
    <row r="947" ht="14.25">
      <c r="F947" s="215"/>
    </row>
    <row r="948" ht="14.25">
      <c r="F948" s="215"/>
    </row>
    <row r="949" ht="14.25">
      <c r="F949" s="215"/>
    </row>
    <row r="950" ht="14.25">
      <c r="F950" s="215"/>
    </row>
    <row r="951" ht="14.25">
      <c r="F951" s="215"/>
    </row>
    <row r="952" ht="14.25">
      <c r="F952" s="215"/>
    </row>
    <row r="953" ht="14.25">
      <c r="F953" s="215"/>
    </row>
    <row r="954" ht="14.25">
      <c r="F954" s="215"/>
    </row>
    <row r="955" ht="14.25">
      <c r="F955" s="215"/>
    </row>
    <row r="956" ht="14.25">
      <c r="F956" s="215"/>
    </row>
    <row r="957" ht="14.25">
      <c r="F957" s="215"/>
    </row>
    <row r="958" ht="14.25">
      <c r="F958" s="215"/>
    </row>
    <row r="959" ht="14.25">
      <c r="F959" s="215"/>
    </row>
    <row r="960" ht="14.25">
      <c r="F960" s="215"/>
    </row>
    <row r="961" ht="14.25">
      <c r="F961" s="215"/>
    </row>
    <row r="962" ht="14.25">
      <c r="F962" s="215"/>
    </row>
    <row r="963" ht="14.25">
      <c r="F963" s="215"/>
    </row>
    <row r="964" ht="14.25">
      <c r="F964" s="215"/>
    </row>
    <row r="965" ht="14.25">
      <c r="F965" s="215"/>
    </row>
    <row r="966" ht="14.25">
      <c r="F966" s="215"/>
    </row>
    <row r="967" ht="14.25">
      <c r="F967" s="215"/>
    </row>
    <row r="968" ht="14.25">
      <c r="F968" s="215"/>
    </row>
    <row r="969" ht="14.25">
      <c r="F969" s="215"/>
    </row>
    <row r="970" ht="14.25">
      <c r="F970" s="215"/>
    </row>
    <row r="971" ht="14.25">
      <c r="F971" s="215"/>
    </row>
    <row r="972" ht="14.25">
      <c r="F972" s="215"/>
    </row>
    <row r="973" ht="14.25">
      <c r="F973" s="215"/>
    </row>
    <row r="974" ht="14.25">
      <c r="F974" s="215"/>
    </row>
    <row r="975" ht="14.25">
      <c r="F975" s="215"/>
    </row>
    <row r="976" ht="14.25">
      <c r="F976" s="215"/>
    </row>
    <row r="977" ht="14.25">
      <c r="F977" s="215"/>
    </row>
    <row r="978" ht="14.25">
      <c r="F978" s="215"/>
    </row>
    <row r="979" ht="14.25">
      <c r="F979" s="215"/>
    </row>
    <row r="980" ht="14.25">
      <c r="F980" s="215"/>
    </row>
    <row r="981" ht="14.25">
      <c r="F981" s="215"/>
    </row>
    <row r="982" ht="14.25">
      <c r="F982" s="215"/>
    </row>
    <row r="983" ht="14.25">
      <c r="F983" s="215"/>
    </row>
    <row r="984" ht="14.25">
      <c r="F984" s="215"/>
    </row>
    <row r="985" ht="14.25">
      <c r="F985" s="215"/>
    </row>
    <row r="986" ht="14.25">
      <c r="F986" s="215"/>
    </row>
    <row r="987" ht="14.25">
      <c r="F987" s="215"/>
    </row>
    <row r="988" ht="14.25">
      <c r="F988" s="215"/>
    </row>
    <row r="989" ht="14.25">
      <c r="F989" s="215"/>
    </row>
    <row r="990" ht="14.25">
      <c r="F990" s="215"/>
    </row>
    <row r="991" ht="14.25">
      <c r="F991" s="215"/>
    </row>
    <row r="992" ht="14.25">
      <c r="F992" s="215"/>
    </row>
    <row r="993" ht="14.25">
      <c r="F993" s="215"/>
    </row>
    <row r="994" ht="14.25">
      <c r="F994" s="215"/>
    </row>
    <row r="995" ht="14.25">
      <c r="F995" s="215"/>
    </row>
    <row r="996" ht="14.25">
      <c r="F996" s="215"/>
    </row>
    <row r="997" ht="14.25">
      <c r="F997" s="215"/>
    </row>
    <row r="998" ht="14.25">
      <c r="F998" s="215"/>
    </row>
    <row r="999" ht="14.25">
      <c r="F999" s="215"/>
    </row>
    <row r="1000" ht="14.25">
      <c r="F1000" s="215"/>
    </row>
    <row r="1001" ht="14.25">
      <c r="F1001" s="215"/>
    </row>
    <row r="1002" ht="14.25">
      <c r="F1002" s="215"/>
    </row>
    <row r="1003" ht="14.25">
      <c r="F1003" s="215"/>
    </row>
    <row r="1004" ht="14.25">
      <c r="F1004" s="215"/>
    </row>
    <row r="1005" ht="14.25">
      <c r="F1005" s="215"/>
    </row>
    <row r="1006" ht="14.25">
      <c r="F1006" s="215"/>
    </row>
    <row r="1007" ht="14.25">
      <c r="F1007" s="215"/>
    </row>
    <row r="1008" ht="14.25">
      <c r="F1008" s="215"/>
    </row>
    <row r="1009" ht="14.25">
      <c r="F1009" s="215"/>
    </row>
    <row r="1010" ht="14.25">
      <c r="F1010" s="215"/>
    </row>
    <row r="1011" ht="14.25">
      <c r="F1011" s="215"/>
    </row>
    <row r="1012" ht="14.25">
      <c r="F1012" s="215"/>
    </row>
    <row r="1013" ht="14.25">
      <c r="F1013" s="215"/>
    </row>
    <row r="1014" ht="14.25">
      <c r="F1014" s="215"/>
    </row>
    <row r="1015" ht="14.25">
      <c r="F1015" s="215"/>
    </row>
    <row r="1016" ht="14.25">
      <c r="F1016" s="215"/>
    </row>
    <row r="1017" ht="14.25">
      <c r="F1017" s="215"/>
    </row>
    <row r="1018" ht="14.25">
      <c r="F1018" s="215"/>
    </row>
    <row r="1019" ht="14.25">
      <c r="F1019" s="215"/>
    </row>
    <row r="1020" ht="14.25">
      <c r="F1020" s="215"/>
    </row>
    <row r="1021" ht="14.25">
      <c r="F1021" s="215"/>
    </row>
    <row r="1022" ht="14.25">
      <c r="F1022" s="215"/>
    </row>
    <row r="1023" ht="14.25">
      <c r="F1023" s="215"/>
    </row>
    <row r="1024" ht="14.25">
      <c r="F1024" s="215"/>
    </row>
    <row r="1025" ht="14.25">
      <c r="F1025" s="215"/>
    </row>
    <row r="1026" ht="14.25">
      <c r="F1026" s="215"/>
    </row>
    <row r="1027" ht="14.25">
      <c r="F1027" s="215"/>
    </row>
    <row r="1028" ht="14.25">
      <c r="F1028" s="215"/>
    </row>
    <row r="1029" ht="14.25">
      <c r="F1029" s="215"/>
    </row>
    <row r="1030" ht="14.25">
      <c r="F1030" s="215"/>
    </row>
    <row r="1031" ht="14.25">
      <c r="F1031" s="215"/>
    </row>
    <row r="1032" ht="14.25">
      <c r="F1032" s="215"/>
    </row>
    <row r="1033" ht="14.25">
      <c r="F1033" s="215"/>
    </row>
    <row r="1034" ht="14.25">
      <c r="F1034" s="215"/>
    </row>
    <row r="1035" ht="14.25">
      <c r="F1035" s="215"/>
    </row>
    <row r="1036" ht="14.25">
      <c r="F1036" s="215"/>
    </row>
    <row r="1037" ht="14.25">
      <c r="F1037" s="215"/>
    </row>
    <row r="1038" ht="14.25">
      <c r="F1038" s="215"/>
    </row>
    <row r="1039" ht="14.25">
      <c r="F1039" s="215"/>
    </row>
    <row r="1040" ht="14.25">
      <c r="F1040" s="215"/>
    </row>
    <row r="1041" ht="14.25">
      <c r="F1041" s="215"/>
    </row>
    <row r="1042" ht="14.25">
      <c r="F1042" s="215"/>
    </row>
    <row r="1043" ht="14.25">
      <c r="F1043" s="215"/>
    </row>
    <row r="1044" ht="14.25">
      <c r="F1044" s="215"/>
    </row>
    <row r="1045" ht="14.25">
      <c r="F1045" s="215"/>
    </row>
    <row r="1046" ht="14.25">
      <c r="F1046" s="215"/>
    </row>
    <row r="1047" ht="14.25">
      <c r="F1047" s="215"/>
    </row>
    <row r="1048" ht="14.25">
      <c r="F1048" s="215"/>
    </row>
    <row r="1049" ht="14.25">
      <c r="F1049" s="215"/>
    </row>
    <row r="1050" ht="14.25">
      <c r="F1050" s="215"/>
    </row>
    <row r="1051" ht="14.25">
      <c r="F1051" s="215"/>
    </row>
    <row r="1052" ht="14.25">
      <c r="F1052" s="215"/>
    </row>
    <row r="1053" ht="14.25">
      <c r="F1053" s="215"/>
    </row>
    <row r="1054" ht="14.25">
      <c r="F1054" s="215"/>
    </row>
    <row r="1055" ht="14.25">
      <c r="F1055" s="215"/>
    </row>
    <row r="1056" ht="14.25">
      <c r="F1056" s="215"/>
    </row>
    <row r="1057" ht="14.25">
      <c r="F1057" s="215"/>
    </row>
    <row r="1058" ht="14.25">
      <c r="F1058" s="215"/>
    </row>
    <row r="1059" ht="14.25">
      <c r="F1059" s="215"/>
    </row>
    <row r="1060" ht="14.25">
      <c r="F1060" s="215"/>
    </row>
    <row r="1061" ht="14.25">
      <c r="F1061" s="215"/>
    </row>
    <row r="1062" ht="14.25">
      <c r="F1062" s="215"/>
    </row>
    <row r="1063" ht="14.25">
      <c r="F1063" s="215"/>
    </row>
    <row r="1064" ht="14.25">
      <c r="F1064" s="215"/>
    </row>
    <row r="1065" ht="14.25">
      <c r="F1065" s="215"/>
    </row>
    <row r="1066" ht="14.25">
      <c r="F1066" s="215"/>
    </row>
    <row r="1067" ht="14.25">
      <c r="F1067" s="215"/>
    </row>
    <row r="1068" ht="14.25">
      <c r="F1068" s="215"/>
    </row>
    <row r="1069" ht="14.25">
      <c r="F1069" s="215"/>
    </row>
    <row r="1070" ht="14.25">
      <c r="F1070" s="215"/>
    </row>
    <row r="1071" ht="14.25">
      <c r="F1071" s="215"/>
    </row>
    <row r="1072" ht="14.25">
      <c r="F1072" s="215"/>
    </row>
    <row r="1073" ht="14.25">
      <c r="F1073" s="215"/>
    </row>
    <row r="1074" ht="14.25">
      <c r="F1074" s="215"/>
    </row>
    <row r="1075" ht="14.25">
      <c r="F1075" s="215"/>
    </row>
    <row r="1076" ht="14.25">
      <c r="F1076" s="215"/>
    </row>
    <row r="1077" ht="14.25">
      <c r="F1077" s="215"/>
    </row>
    <row r="1078" ht="14.25">
      <c r="F1078" s="215"/>
    </row>
    <row r="1079" ht="14.25">
      <c r="F1079" s="215"/>
    </row>
    <row r="1080" ht="14.25">
      <c r="F1080" s="215"/>
    </row>
    <row r="1081" ht="14.25">
      <c r="F1081" s="215"/>
    </row>
    <row r="1082" ht="14.25">
      <c r="F1082" s="215"/>
    </row>
    <row r="1083" ht="14.25">
      <c r="F1083" s="215"/>
    </row>
    <row r="1084" ht="14.25">
      <c r="F1084" s="215"/>
    </row>
    <row r="1085" ht="14.25">
      <c r="F1085" s="215"/>
    </row>
    <row r="1086" ht="14.25">
      <c r="F1086" s="215"/>
    </row>
    <row r="1087" ht="14.25">
      <c r="F1087" s="215"/>
    </row>
    <row r="1088" ht="14.25">
      <c r="F1088" s="215"/>
    </row>
    <row r="1089" ht="14.25">
      <c r="F1089" s="215"/>
    </row>
    <row r="1090" ht="14.25">
      <c r="F1090" s="215"/>
    </row>
    <row r="1091" ht="14.25">
      <c r="F1091" s="215"/>
    </row>
    <row r="1092" ht="14.25">
      <c r="F1092" s="215"/>
    </row>
    <row r="1093" ht="14.25">
      <c r="F1093" s="215"/>
    </row>
    <row r="1094" ht="14.25">
      <c r="F1094" s="215"/>
    </row>
    <row r="1095" ht="14.25">
      <c r="F1095" s="215"/>
    </row>
    <row r="1096" ht="14.25">
      <c r="F1096" s="215"/>
    </row>
    <row r="1097" ht="14.25">
      <c r="F1097" s="215"/>
    </row>
    <row r="1098" ht="14.25">
      <c r="F1098" s="215"/>
    </row>
    <row r="1099" ht="14.25">
      <c r="F1099" s="215"/>
    </row>
    <row r="1100" ht="14.25">
      <c r="F1100" s="215"/>
    </row>
    <row r="1101" ht="14.25">
      <c r="F1101" s="215"/>
    </row>
    <row r="1102" ht="14.25">
      <c r="F1102" s="215"/>
    </row>
    <row r="1103" ht="14.25">
      <c r="F1103" s="215"/>
    </row>
    <row r="1104" ht="14.25">
      <c r="F1104" s="215"/>
    </row>
    <row r="1105" ht="14.25">
      <c r="F1105" s="215"/>
    </row>
    <row r="1106" ht="14.25">
      <c r="F1106" s="215"/>
    </row>
    <row r="1107" ht="14.25">
      <c r="F1107" s="215"/>
    </row>
    <row r="1108" ht="14.25">
      <c r="F1108" s="215"/>
    </row>
    <row r="1109" ht="14.25">
      <c r="F1109" s="215"/>
    </row>
    <row r="1110" ht="14.25">
      <c r="F1110" s="215"/>
    </row>
    <row r="1111" ht="14.25">
      <c r="F1111" s="215"/>
    </row>
    <row r="1112" ht="14.25">
      <c r="F1112" s="215"/>
    </row>
    <row r="1113" ht="14.25">
      <c r="F1113" s="215"/>
    </row>
    <row r="1114" ht="14.25">
      <c r="F1114" s="215"/>
    </row>
    <row r="1115" ht="14.25">
      <c r="F1115" s="215"/>
    </row>
    <row r="1116" ht="14.25">
      <c r="F1116" s="215"/>
    </row>
    <row r="1117" ht="14.25">
      <c r="F1117" s="215"/>
    </row>
    <row r="1118" ht="14.25">
      <c r="F1118" s="215"/>
    </row>
    <row r="1119" ht="14.25">
      <c r="F1119" s="215"/>
    </row>
    <row r="1120" ht="14.25">
      <c r="F1120" s="215"/>
    </row>
    <row r="1121" ht="14.25">
      <c r="F1121" s="215"/>
    </row>
    <row r="1122" ht="14.25">
      <c r="F1122" s="215"/>
    </row>
    <row r="1123" ht="14.25">
      <c r="F1123" s="215"/>
    </row>
    <row r="1124" ht="14.25">
      <c r="F1124" s="215"/>
    </row>
    <row r="1125" ht="14.25">
      <c r="F1125" s="215"/>
    </row>
    <row r="1126" ht="14.25">
      <c r="F1126" s="215"/>
    </row>
    <row r="1127" ht="14.25">
      <c r="F1127" s="215"/>
    </row>
    <row r="1128" ht="14.25">
      <c r="F1128" s="215"/>
    </row>
    <row r="1129" ht="14.25">
      <c r="F1129" s="215"/>
    </row>
    <row r="1130" ht="14.25">
      <c r="F1130" s="215"/>
    </row>
    <row r="1131" ht="14.25">
      <c r="F1131" s="215"/>
    </row>
    <row r="1132" ht="14.25">
      <c r="F1132" s="215"/>
    </row>
    <row r="1133" ht="14.25">
      <c r="F1133" s="215"/>
    </row>
    <row r="1134" ht="14.25">
      <c r="F1134" s="215"/>
    </row>
    <row r="1135" ht="14.25">
      <c r="F1135" s="215"/>
    </row>
    <row r="1136" ht="14.25">
      <c r="F1136" s="215"/>
    </row>
    <row r="1137" ht="14.25">
      <c r="F1137" s="215"/>
    </row>
    <row r="1138" ht="14.25">
      <c r="F1138" s="215"/>
    </row>
    <row r="1139" ht="14.25">
      <c r="F1139" s="215"/>
    </row>
    <row r="1140" ht="14.25">
      <c r="F1140" s="215"/>
    </row>
    <row r="1141" ht="14.25">
      <c r="F1141" s="215"/>
    </row>
    <row r="1142" ht="14.25">
      <c r="F1142" s="215"/>
    </row>
    <row r="1143" ht="14.25">
      <c r="F1143" s="215"/>
    </row>
    <row r="1144" ht="14.25">
      <c r="F1144" s="215"/>
    </row>
    <row r="1145" ht="14.25">
      <c r="F1145" s="215"/>
    </row>
    <row r="1146" ht="14.25">
      <c r="F1146" s="215"/>
    </row>
    <row r="1147" ht="14.25">
      <c r="F1147" s="215"/>
    </row>
    <row r="1148" ht="14.25">
      <c r="F1148" s="215"/>
    </row>
    <row r="1149" ht="14.25">
      <c r="F1149" s="215"/>
    </row>
    <row r="1150" ht="14.25">
      <c r="F1150" s="215"/>
    </row>
    <row r="1151" ht="14.25">
      <c r="F1151" s="215"/>
    </row>
    <row r="1152" ht="14.25">
      <c r="F1152" s="215"/>
    </row>
    <row r="1153" ht="14.25">
      <c r="F1153" s="215"/>
    </row>
    <row r="1154" ht="14.25">
      <c r="F1154" s="215"/>
    </row>
    <row r="1155" ht="14.25">
      <c r="F1155" s="215"/>
    </row>
    <row r="1156" ht="14.25">
      <c r="F1156" s="215"/>
    </row>
    <row r="1157" ht="14.25">
      <c r="F1157" s="215"/>
    </row>
    <row r="1158" ht="14.25">
      <c r="F1158" s="215"/>
    </row>
    <row r="1159" ht="14.25">
      <c r="F1159" s="215"/>
    </row>
    <row r="1160" ht="14.25">
      <c r="F1160" s="215"/>
    </row>
    <row r="1161" ht="14.25">
      <c r="F1161" s="215"/>
    </row>
    <row r="1162" ht="14.25">
      <c r="F1162" s="215"/>
    </row>
    <row r="1163" ht="14.25">
      <c r="F1163" s="215"/>
    </row>
    <row r="1164" ht="14.25">
      <c r="F1164" s="215"/>
    </row>
    <row r="1165" ht="14.25">
      <c r="F1165" s="215"/>
    </row>
    <row r="1166" ht="14.25">
      <c r="F1166" s="215"/>
    </row>
    <row r="1167" ht="14.25">
      <c r="F1167" s="215"/>
    </row>
    <row r="1168" ht="14.25">
      <c r="F1168" s="215"/>
    </row>
    <row r="1169" ht="14.25">
      <c r="F1169" s="215"/>
    </row>
    <row r="1170" ht="14.25">
      <c r="F1170" s="215"/>
    </row>
    <row r="1171" ht="14.25">
      <c r="F1171" s="215"/>
    </row>
    <row r="1172" ht="14.25">
      <c r="F1172" s="215"/>
    </row>
    <row r="1173" ht="14.25">
      <c r="F1173" s="215"/>
    </row>
    <row r="1174" ht="14.25">
      <c r="F1174" s="215"/>
    </row>
    <row r="1175" ht="14.25">
      <c r="F1175" s="215"/>
    </row>
    <row r="1176" ht="14.25">
      <c r="F1176" s="215"/>
    </row>
    <row r="1177" ht="14.25">
      <c r="F1177" s="215"/>
    </row>
    <row r="1178" ht="14.25">
      <c r="F1178" s="215"/>
    </row>
    <row r="1179" ht="14.25">
      <c r="F1179" s="215"/>
    </row>
    <row r="1180" ht="14.25">
      <c r="F1180" s="215"/>
    </row>
    <row r="1181" ht="14.25">
      <c r="F1181" s="215"/>
    </row>
    <row r="1182" ht="14.25">
      <c r="F1182" s="215"/>
    </row>
    <row r="1183" ht="14.25">
      <c r="F1183" s="215"/>
    </row>
    <row r="1184" ht="14.25">
      <c r="F1184" s="215"/>
    </row>
    <row r="1185" ht="14.25">
      <c r="F1185" s="215"/>
    </row>
    <row r="1186" ht="14.25">
      <c r="F1186" s="215"/>
    </row>
    <row r="1187" ht="14.25">
      <c r="F1187" s="215"/>
    </row>
    <row r="1188" ht="14.25">
      <c r="F1188" s="215"/>
    </row>
    <row r="1189" ht="14.25">
      <c r="F1189" s="215"/>
    </row>
    <row r="1190" ht="14.25">
      <c r="F1190" s="215"/>
    </row>
    <row r="1191" ht="14.25">
      <c r="F1191" s="215"/>
    </row>
    <row r="1192" ht="14.25">
      <c r="F1192" s="215"/>
    </row>
    <row r="1193" ht="14.25">
      <c r="F1193" s="215"/>
    </row>
    <row r="1194" ht="14.25">
      <c r="F1194" s="215"/>
    </row>
    <row r="1195" ht="14.25">
      <c r="F1195" s="215"/>
    </row>
    <row r="1196" ht="14.25">
      <c r="F1196" s="215"/>
    </row>
    <row r="1197" ht="14.25">
      <c r="F1197" s="215"/>
    </row>
    <row r="1198" ht="14.25">
      <c r="F1198" s="215"/>
    </row>
    <row r="1199" ht="14.25">
      <c r="F1199" s="215"/>
    </row>
    <row r="1200" ht="14.25">
      <c r="F1200" s="215"/>
    </row>
    <row r="1201" ht="14.25">
      <c r="F1201" s="215"/>
    </row>
    <row r="1202" ht="14.25">
      <c r="F1202" s="215"/>
    </row>
    <row r="1203" ht="14.25">
      <c r="F1203" s="215"/>
    </row>
    <row r="1204" ht="14.25">
      <c r="F1204" s="215"/>
    </row>
    <row r="1205" ht="14.25">
      <c r="F1205" s="215"/>
    </row>
    <row r="1206" ht="14.25">
      <c r="F1206" s="215"/>
    </row>
    <row r="1207" ht="14.25">
      <c r="F1207" s="215"/>
    </row>
    <row r="1208" ht="14.25">
      <c r="F1208" s="215"/>
    </row>
    <row r="1209" ht="14.25">
      <c r="F1209" s="215"/>
    </row>
    <row r="1210" ht="14.25">
      <c r="F1210" s="215"/>
    </row>
    <row r="1211" ht="14.25">
      <c r="F1211" s="215"/>
    </row>
    <row r="1212" ht="14.25">
      <c r="F1212" s="215"/>
    </row>
    <row r="1213" ht="14.25">
      <c r="F1213" s="215"/>
    </row>
    <row r="1214" ht="14.25">
      <c r="F1214" s="215"/>
    </row>
    <row r="1215" ht="14.25">
      <c r="F1215" s="215"/>
    </row>
    <row r="1216" ht="14.25">
      <c r="F1216" s="215"/>
    </row>
    <row r="1217" ht="14.25">
      <c r="F1217" s="215"/>
    </row>
    <row r="1218" ht="14.25">
      <c r="F1218" s="215"/>
    </row>
    <row r="1219" ht="14.25">
      <c r="F1219" s="215"/>
    </row>
    <row r="1220" ht="14.25">
      <c r="F1220" s="215"/>
    </row>
    <row r="1221" ht="14.25">
      <c r="F1221" s="215"/>
    </row>
    <row r="1222" ht="14.25">
      <c r="F1222" s="215"/>
    </row>
    <row r="1223" ht="14.25">
      <c r="F1223" s="215"/>
    </row>
    <row r="1224" ht="14.25">
      <c r="F1224" s="215"/>
    </row>
    <row r="1225" ht="14.25">
      <c r="F1225" s="215"/>
    </row>
    <row r="1226" ht="14.25">
      <c r="F1226" s="215"/>
    </row>
    <row r="1227" ht="14.25">
      <c r="F1227" s="215"/>
    </row>
    <row r="1228" ht="14.25">
      <c r="F1228" s="215"/>
    </row>
    <row r="1229" ht="14.25">
      <c r="F1229" s="215"/>
    </row>
    <row r="1230" ht="14.25">
      <c r="F1230" s="215"/>
    </row>
    <row r="1231" ht="14.25">
      <c r="F1231" s="215"/>
    </row>
    <row r="1232" ht="14.25">
      <c r="F1232" s="215"/>
    </row>
    <row r="1233" ht="14.25">
      <c r="F1233" s="215"/>
    </row>
    <row r="1234" ht="14.25">
      <c r="F1234" s="215"/>
    </row>
    <row r="1235" ht="14.25">
      <c r="F1235" s="215"/>
    </row>
    <row r="1236" ht="14.25">
      <c r="F1236" s="215"/>
    </row>
    <row r="1237" ht="14.25">
      <c r="F1237" s="215"/>
    </row>
    <row r="1238" ht="14.25">
      <c r="F1238" s="215"/>
    </row>
    <row r="1239" ht="14.25">
      <c r="F1239" s="215"/>
    </row>
    <row r="1240" ht="14.25">
      <c r="F1240" s="215"/>
    </row>
    <row r="1241" ht="14.25">
      <c r="F1241" s="215"/>
    </row>
    <row r="1242" ht="14.25">
      <c r="F1242" s="215"/>
    </row>
    <row r="1243" ht="14.25">
      <c r="F1243" s="215"/>
    </row>
    <row r="1244" ht="14.25">
      <c r="F1244" s="215"/>
    </row>
    <row r="1245" ht="14.25">
      <c r="F1245" s="215"/>
    </row>
    <row r="1246" ht="14.25">
      <c r="F1246" s="215"/>
    </row>
    <row r="1247" ht="14.25">
      <c r="F1247" s="215"/>
    </row>
    <row r="1248" ht="14.25">
      <c r="F1248" s="215"/>
    </row>
    <row r="1249" ht="14.25">
      <c r="F1249" s="215"/>
    </row>
    <row r="1250" ht="14.25">
      <c r="F1250" s="215"/>
    </row>
    <row r="1251" ht="14.25">
      <c r="F1251" s="215"/>
    </row>
    <row r="1252" ht="14.25">
      <c r="F1252" s="215"/>
    </row>
    <row r="1253" ht="14.25">
      <c r="F1253" s="215"/>
    </row>
    <row r="1254" ht="14.25">
      <c r="F1254" s="215"/>
    </row>
    <row r="1255" ht="14.25">
      <c r="F1255" s="215"/>
    </row>
    <row r="1256" ht="14.25">
      <c r="F1256" s="215"/>
    </row>
    <row r="1257" ht="14.25">
      <c r="F1257" s="215"/>
    </row>
    <row r="1258" ht="14.25">
      <c r="F1258" s="215"/>
    </row>
    <row r="1259" ht="14.25">
      <c r="F1259" s="215"/>
    </row>
    <row r="1260" ht="14.25">
      <c r="F1260" s="215"/>
    </row>
    <row r="1261" ht="14.25">
      <c r="F1261" s="215"/>
    </row>
    <row r="1262" ht="14.25">
      <c r="F1262" s="215"/>
    </row>
    <row r="1263" ht="14.25">
      <c r="F1263" s="215"/>
    </row>
    <row r="1264" ht="14.25">
      <c r="F1264" s="215"/>
    </row>
    <row r="1265" ht="14.25">
      <c r="F1265" s="215"/>
    </row>
    <row r="1266" ht="14.25">
      <c r="F1266" s="215"/>
    </row>
    <row r="1267" ht="14.25">
      <c r="F1267" s="215"/>
    </row>
    <row r="1268" ht="14.25">
      <c r="F1268" s="215"/>
    </row>
    <row r="1269" ht="14.25">
      <c r="F1269" s="215"/>
    </row>
    <row r="1270" ht="14.25">
      <c r="F1270" s="215"/>
    </row>
    <row r="1271" ht="14.25">
      <c r="F1271" s="215"/>
    </row>
    <row r="1272" ht="14.25">
      <c r="F1272" s="215"/>
    </row>
    <row r="1273" ht="14.25">
      <c r="F1273" s="215"/>
    </row>
    <row r="1274" ht="14.25">
      <c r="F1274" s="215"/>
    </row>
    <row r="1275" ht="14.25">
      <c r="F1275" s="215"/>
    </row>
    <row r="1276" ht="14.25">
      <c r="F1276" s="215"/>
    </row>
    <row r="1277" ht="14.25">
      <c r="F1277" s="215"/>
    </row>
    <row r="1278" ht="14.25">
      <c r="F1278" s="215"/>
    </row>
    <row r="1279" ht="14.25">
      <c r="F1279" s="215"/>
    </row>
    <row r="1280" ht="14.25">
      <c r="F1280" s="215"/>
    </row>
    <row r="1281" ht="14.25">
      <c r="F1281" s="215"/>
    </row>
    <row r="1282" ht="14.25">
      <c r="F1282" s="215"/>
    </row>
    <row r="1283" ht="14.25">
      <c r="F1283" s="215"/>
    </row>
    <row r="1284" ht="14.25">
      <c r="F1284" s="215"/>
    </row>
    <row r="1285" ht="14.25">
      <c r="F1285" s="215"/>
    </row>
    <row r="1286" ht="14.25">
      <c r="F1286" s="215"/>
    </row>
    <row r="1287" ht="14.25">
      <c r="F1287" s="215"/>
    </row>
    <row r="1288" ht="14.25">
      <c r="F1288" s="215"/>
    </row>
    <row r="1289" ht="14.25">
      <c r="F1289" s="215"/>
    </row>
    <row r="1290" ht="14.25">
      <c r="F1290" s="215"/>
    </row>
    <row r="1291" ht="14.25">
      <c r="F1291" s="215"/>
    </row>
    <row r="1292" ht="14.25">
      <c r="F1292" s="215"/>
    </row>
    <row r="1293" ht="14.25">
      <c r="F1293" s="215"/>
    </row>
    <row r="1294" ht="14.25">
      <c r="F1294" s="215"/>
    </row>
    <row r="1295" ht="14.25">
      <c r="F1295" s="215"/>
    </row>
    <row r="1296" ht="14.25">
      <c r="F1296" s="215"/>
    </row>
    <row r="1297" ht="14.25">
      <c r="F1297" s="215"/>
    </row>
    <row r="1298" ht="14.25">
      <c r="F1298" s="215"/>
    </row>
    <row r="1299" ht="14.25">
      <c r="F1299" s="215"/>
    </row>
    <row r="1300" ht="14.25">
      <c r="F1300" s="215"/>
    </row>
    <row r="1301" ht="14.25">
      <c r="F1301" s="215"/>
    </row>
    <row r="1302" ht="14.25">
      <c r="F1302" s="215"/>
    </row>
    <row r="1303" ht="14.25">
      <c r="F1303" s="215"/>
    </row>
    <row r="1304" ht="14.25">
      <c r="F1304" s="215"/>
    </row>
    <row r="1305" ht="14.25">
      <c r="F1305" s="215"/>
    </row>
    <row r="1306" ht="14.25">
      <c r="F1306" s="215"/>
    </row>
    <row r="1307" ht="14.25">
      <c r="F1307" s="215"/>
    </row>
    <row r="1308" ht="14.25">
      <c r="F1308" s="215"/>
    </row>
    <row r="1309" ht="14.25">
      <c r="F1309" s="215"/>
    </row>
    <row r="1310" ht="14.25">
      <c r="F1310" s="215"/>
    </row>
    <row r="1311" ht="14.25">
      <c r="F1311" s="215"/>
    </row>
    <row r="1312" ht="14.25">
      <c r="F1312" s="215"/>
    </row>
    <row r="1313" ht="14.25">
      <c r="F1313" s="215"/>
    </row>
    <row r="1314" ht="14.25">
      <c r="F1314" s="215"/>
    </row>
    <row r="1315" ht="14.25">
      <c r="F1315" s="215"/>
    </row>
    <row r="1316" ht="14.25">
      <c r="F1316" s="215"/>
    </row>
    <row r="1317" ht="14.25">
      <c r="F1317" s="215"/>
    </row>
    <row r="1318" ht="14.25">
      <c r="F1318" s="215"/>
    </row>
    <row r="1319" ht="14.25">
      <c r="F1319" s="215"/>
    </row>
    <row r="1320" ht="14.25">
      <c r="F1320" s="215"/>
    </row>
    <row r="1321" ht="14.25">
      <c r="F1321" s="215"/>
    </row>
    <row r="1322" ht="14.25">
      <c r="F1322" s="215"/>
    </row>
    <row r="1323" ht="14.25">
      <c r="F1323" s="215"/>
    </row>
    <row r="1324" ht="14.25">
      <c r="F1324" s="215"/>
    </row>
    <row r="1325" ht="14.25">
      <c r="F1325" s="215"/>
    </row>
    <row r="1326" ht="14.25">
      <c r="F1326" s="215"/>
    </row>
    <row r="1327" ht="14.25">
      <c r="F1327" s="215"/>
    </row>
    <row r="1328" ht="14.25">
      <c r="F1328" s="215"/>
    </row>
    <row r="1329" ht="14.25">
      <c r="F1329" s="215"/>
    </row>
    <row r="1330" ht="14.25">
      <c r="F1330" s="215"/>
    </row>
    <row r="1331" ht="14.25">
      <c r="F1331" s="215"/>
    </row>
    <row r="1332" ht="14.25">
      <c r="F1332" s="215"/>
    </row>
    <row r="1333" ht="14.25">
      <c r="F1333" s="215"/>
    </row>
    <row r="1334" ht="14.25">
      <c r="F1334" s="215"/>
    </row>
    <row r="1335" ht="14.25">
      <c r="F1335" s="215"/>
    </row>
    <row r="1336" ht="14.25">
      <c r="F1336" s="215"/>
    </row>
    <row r="1337" ht="14.25">
      <c r="F1337" s="215"/>
    </row>
    <row r="1338" ht="14.25">
      <c r="F1338" s="215"/>
    </row>
    <row r="1339" ht="14.25">
      <c r="F1339" s="215"/>
    </row>
    <row r="1340" ht="14.25">
      <c r="F1340" s="215"/>
    </row>
    <row r="1341" ht="14.25">
      <c r="F1341" s="215"/>
    </row>
    <row r="1342" ht="14.25">
      <c r="F1342" s="215"/>
    </row>
    <row r="1343" ht="14.25">
      <c r="F1343" s="215"/>
    </row>
    <row r="1344" ht="14.25">
      <c r="F1344" s="215"/>
    </row>
    <row r="1345" ht="14.25">
      <c r="F1345" s="215"/>
    </row>
    <row r="1346" ht="14.25">
      <c r="F1346" s="215"/>
    </row>
    <row r="1347" ht="14.25">
      <c r="F1347" s="215"/>
    </row>
    <row r="1348" ht="14.25">
      <c r="F1348" s="215"/>
    </row>
    <row r="1349" ht="14.25">
      <c r="F1349" s="215"/>
    </row>
    <row r="1350" ht="14.25">
      <c r="F1350" s="215"/>
    </row>
    <row r="1351" ht="14.25">
      <c r="F1351" s="215"/>
    </row>
    <row r="1352" ht="14.25">
      <c r="F1352" s="215"/>
    </row>
    <row r="1353" ht="14.25">
      <c r="F1353" s="215"/>
    </row>
    <row r="1354" ht="14.25">
      <c r="F1354" s="215"/>
    </row>
    <row r="1355" ht="14.25">
      <c r="F1355" s="215"/>
    </row>
    <row r="1356" ht="14.25">
      <c r="F1356" s="215"/>
    </row>
    <row r="1357" ht="14.25">
      <c r="F1357" s="215"/>
    </row>
    <row r="1358" ht="14.25">
      <c r="F1358" s="215"/>
    </row>
    <row r="1359" ht="14.25">
      <c r="F1359" s="215"/>
    </row>
    <row r="1360" ht="14.25">
      <c r="F1360" s="215"/>
    </row>
    <row r="1361" ht="14.25">
      <c r="F1361" s="215"/>
    </row>
    <row r="1362" ht="14.25">
      <c r="F1362" s="215"/>
    </row>
    <row r="1363" ht="14.25">
      <c r="F1363" s="215"/>
    </row>
    <row r="1364" ht="14.25">
      <c r="F1364" s="215"/>
    </row>
    <row r="1365" ht="14.25">
      <c r="F1365" s="215"/>
    </row>
    <row r="1366" ht="14.25">
      <c r="F1366" s="215"/>
    </row>
    <row r="1367" ht="14.25">
      <c r="F1367" s="215"/>
    </row>
    <row r="1368" ht="14.25">
      <c r="F1368" s="215"/>
    </row>
    <row r="1369" ht="14.25">
      <c r="F1369" s="215"/>
    </row>
    <row r="1370" ht="14.25">
      <c r="F1370" s="215"/>
    </row>
    <row r="1371" ht="14.25">
      <c r="F1371" s="215"/>
    </row>
    <row r="1372" ht="14.25">
      <c r="F1372" s="215"/>
    </row>
    <row r="1373" ht="14.25">
      <c r="F1373" s="215"/>
    </row>
    <row r="1374" ht="14.25">
      <c r="F1374" s="215"/>
    </row>
    <row r="1375" ht="14.25">
      <c r="F1375" s="215"/>
    </row>
    <row r="1376" ht="14.25">
      <c r="F1376" s="215"/>
    </row>
    <row r="1377" ht="14.25">
      <c r="F1377" s="215"/>
    </row>
    <row r="1378" ht="14.25">
      <c r="F1378" s="215"/>
    </row>
    <row r="1379" ht="14.25">
      <c r="F1379" s="215"/>
    </row>
    <row r="1380" ht="14.25">
      <c r="F1380" s="215"/>
    </row>
    <row r="1381" ht="14.25">
      <c r="F1381" s="215"/>
    </row>
    <row r="1382" ht="14.25">
      <c r="F1382" s="215"/>
    </row>
    <row r="1383" ht="14.25">
      <c r="F1383" s="215"/>
    </row>
    <row r="1384" ht="14.25">
      <c r="F1384" s="215"/>
    </row>
    <row r="1385" ht="14.25">
      <c r="F1385" s="215"/>
    </row>
    <row r="1386" ht="14.25">
      <c r="F1386" s="215"/>
    </row>
    <row r="1387" ht="14.25">
      <c r="F1387" s="215"/>
    </row>
    <row r="1388" ht="14.25">
      <c r="F1388" s="215"/>
    </row>
    <row r="1389" ht="14.25">
      <c r="F1389" s="215"/>
    </row>
    <row r="1390" ht="14.25">
      <c r="F1390" s="215"/>
    </row>
    <row r="1391" ht="14.25">
      <c r="F1391" s="215"/>
    </row>
    <row r="1392" ht="14.25">
      <c r="F1392" s="215"/>
    </row>
    <row r="1393" ht="14.25">
      <c r="F1393" s="215"/>
    </row>
    <row r="1394" ht="14.25">
      <c r="F1394" s="215"/>
    </row>
    <row r="1395" ht="14.25">
      <c r="F1395" s="215"/>
    </row>
    <row r="1396" ht="14.25">
      <c r="F1396" s="215"/>
    </row>
    <row r="1397" ht="14.25">
      <c r="F1397" s="215"/>
    </row>
    <row r="1398" ht="14.25">
      <c r="F1398" s="215"/>
    </row>
    <row r="1399" ht="14.25">
      <c r="F1399" s="215"/>
    </row>
    <row r="1400" ht="14.25">
      <c r="F1400" s="215"/>
    </row>
    <row r="1401" ht="14.25">
      <c r="F1401" s="215"/>
    </row>
    <row r="1402" ht="14.25">
      <c r="F1402" s="215"/>
    </row>
    <row r="1403" ht="14.25">
      <c r="F1403" s="215"/>
    </row>
    <row r="1404" ht="14.25">
      <c r="F1404" s="215"/>
    </row>
    <row r="1405" ht="14.25">
      <c r="F1405" s="215"/>
    </row>
    <row r="1406" ht="14.25">
      <c r="F1406" s="215"/>
    </row>
    <row r="1407" ht="14.25">
      <c r="F1407" s="215"/>
    </row>
    <row r="1408" ht="14.25">
      <c r="F1408" s="215"/>
    </row>
    <row r="1409" ht="14.25">
      <c r="F1409" s="215"/>
    </row>
    <row r="1410" ht="14.25">
      <c r="F1410" s="215"/>
    </row>
    <row r="1411" ht="14.25">
      <c r="F1411" s="215"/>
    </row>
    <row r="1412" ht="14.25">
      <c r="F1412" s="215"/>
    </row>
    <row r="1413" ht="14.25">
      <c r="F1413" s="215"/>
    </row>
    <row r="1414" ht="14.25">
      <c r="F1414" s="215"/>
    </row>
    <row r="1415" ht="14.25">
      <c r="F1415" s="215"/>
    </row>
    <row r="1416" ht="14.25">
      <c r="F1416" s="215"/>
    </row>
    <row r="1417" ht="14.25">
      <c r="F1417" s="215"/>
    </row>
    <row r="1418" ht="14.25">
      <c r="F1418" s="215"/>
    </row>
    <row r="1419" ht="14.25">
      <c r="F1419" s="215"/>
    </row>
    <row r="1420" ht="14.25">
      <c r="F1420" s="215"/>
    </row>
    <row r="1421" ht="14.25">
      <c r="F1421" s="215"/>
    </row>
    <row r="1422" ht="14.25">
      <c r="F1422" s="215"/>
    </row>
    <row r="1423" ht="14.25">
      <c r="F1423" s="215"/>
    </row>
    <row r="1424" ht="14.25">
      <c r="F1424" s="215"/>
    </row>
    <row r="1425" ht="14.25">
      <c r="F1425" s="215"/>
    </row>
    <row r="1426" ht="14.25">
      <c r="F1426" s="215"/>
    </row>
    <row r="1427" ht="14.25">
      <c r="F1427" s="215"/>
    </row>
    <row r="1428" ht="14.25">
      <c r="F1428" s="215"/>
    </row>
    <row r="1429" ht="14.25">
      <c r="F1429" s="215"/>
    </row>
    <row r="1430" ht="14.25">
      <c r="F1430" s="215"/>
    </row>
    <row r="1431" ht="14.25">
      <c r="F1431" s="215"/>
    </row>
    <row r="1432" ht="14.25">
      <c r="F1432" s="215"/>
    </row>
    <row r="1433" ht="14.25">
      <c r="F1433" s="215"/>
    </row>
    <row r="1434" ht="14.25">
      <c r="F1434" s="215"/>
    </row>
    <row r="1435" ht="14.25">
      <c r="F1435" s="215"/>
    </row>
    <row r="1436" ht="14.25">
      <c r="F1436" s="215"/>
    </row>
    <row r="1437" ht="14.25">
      <c r="F1437" s="215"/>
    </row>
    <row r="1438" ht="14.25">
      <c r="F1438" s="215"/>
    </row>
    <row r="1439" ht="14.25">
      <c r="F1439" s="215"/>
    </row>
    <row r="1440" ht="14.25">
      <c r="F1440" s="215"/>
    </row>
    <row r="1441" ht="14.25">
      <c r="F1441" s="215"/>
    </row>
    <row r="1442" ht="14.25">
      <c r="F1442" s="215"/>
    </row>
    <row r="1443" ht="14.25">
      <c r="F1443" s="215"/>
    </row>
    <row r="1444" ht="14.25">
      <c r="F1444" s="215"/>
    </row>
    <row r="1445" ht="14.25">
      <c r="F1445" s="215"/>
    </row>
    <row r="1446" ht="14.25">
      <c r="F1446" s="215"/>
    </row>
    <row r="1447" ht="14.25">
      <c r="F1447" s="215"/>
    </row>
    <row r="1448" ht="14.25">
      <c r="F1448" s="215"/>
    </row>
    <row r="1449" ht="14.25">
      <c r="F1449" s="215"/>
    </row>
    <row r="1450" ht="14.25">
      <c r="F1450" s="215"/>
    </row>
    <row r="1451" ht="14.25">
      <c r="F1451" s="215"/>
    </row>
    <row r="1452" ht="14.25">
      <c r="F1452" s="215"/>
    </row>
    <row r="1453" ht="14.25">
      <c r="F1453" s="215"/>
    </row>
    <row r="1454" ht="14.25">
      <c r="F1454" s="215"/>
    </row>
    <row r="1455" ht="14.25">
      <c r="F1455" s="215"/>
    </row>
    <row r="1456" ht="14.25">
      <c r="F1456" s="215"/>
    </row>
    <row r="1457" ht="14.25">
      <c r="F1457" s="215"/>
    </row>
    <row r="1458" ht="14.25">
      <c r="F1458" s="215"/>
    </row>
    <row r="1459" ht="14.25">
      <c r="F1459" s="215"/>
    </row>
    <row r="1460" ht="14.25">
      <c r="F1460" s="215"/>
    </row>
    <row r="1461" ht="14.25">
      <c r="F1461" s="215"/>
    </row>
    <row r="1462" ht="14.25">
      <c r="F1462" s="215"/>
    </row>
    <row r="1463" ht="14.25">
      <c r="F1463" s="215"/>
    </row>
    <row r="1464" ht="14.25">
      <c r="F1464" s="215"/>
    </row>
    <row r="1465" ht="14.25">
      <c r="F1465" s="215"/>
    </row>
    <row r="1466" ht="14.25">
      <c r="F1466" s="215"/>
    </row>
    <row r="1467" ht="14.25">
      <c r="F1467" s="215"/>
    </row>
    <row r="1468" ht="14.25">
      <c r="F1468" s="215"/>
    </row>
    <row r="1469" ht="14.25">
      <c r="F1469" s="215"/>
    </row>
    <row r="1470" ht="14.25">
      <c r="F1470" s="215"/>
    </row>
    <row r="1471" ht="14.25">
      <c r="F1471" s="215"/>
    </row>
    <row r="1472" ht="14.25">
      <c r="F1472" s="215"/>
    </row>
    <row r="1473" ht="14.25">
      <c r="F1473" s="215"/>
    </row>
    <row r="1474" ht="14.25">
      <c r="F1474" s="215"/>
    </row>
    <row r="1475" ht="14.25">
      <c r="F1475" s="215"/>
    </row>
    <row r="1476" ht="14.25">
      <c r="F1476" s="215"/>
    </row>
    <row r="1477" ht="14.25">
      <c r="F1477" s="215"/>
    </row>
    <row r="1478" ht="14.25">
      <c r="F1478" s="215"/>
    </row>
    <row r="1479" ht="14.25">
      <c r="F1479" s="215"/>
    </row>
    <row r="1480" ht="14.25">
      <c r="F1480" s="215"/>
    </row>
    <row r="1481" ht="14.25">
      <c r="F1481" s="215"/>
    </row>
    <row r="1482" ht="14.25">
      <c r="F1482" s="215"/>
    </row>
    <row r="1483" ht="14.25">
      <c r="F1483" s="215"/>
    </row>
    <row r="1484" ht="14.25">
      <c r="F1484" s="215"/>
    </row>
    <row r="1485" ht="14.25">
      <c r="F1485" s="215"/>
    </row>
    <row r="1486" ht="14.25">
      <c r="F1486" s="215"/>
    </row>
    <row r="1487" ht="14.25">
      <c r="F1487" s="215"/>
    </row>
    <row r="1488" ht="14.25">
      <c r="F1488" s="215"/>
    </row>
    <row r="1489" ht="14.25">
      <c r="F1489" s="215"/>
    </row>
    <row r="1490" ht="14.25">
      <c r="F1490" s="215"/>
    </row>
    <row r="1491" ht="14.25">
      <c r="F1491" s="215"/>
    </row>
    <row r="1492" ht="14.25">
      <c r="F1492" s="215"/>
    </row>
    <row r="1493" ht="14.25">
      <c r="F1493" s="215"/>
    </row>
    <row r="1494" ht="14.25">
      <c r="F1494" s="215"/>
    </row>
    <row r="1495" ht="14.25">
      <c r="F1495" s="215"/>
    </row>
    <row r="1496" ht="14.25">
      <c r="F1496" s="215"/>
    </row>
    <row r="1497" ht="14.25">
      <c r="F1497" s="215"/>
    </row>
    <row r="1498" ht="14.25">
      <c r="F1498" s="215"/>
    </row>
    <row r="1499" ht="14.25">
      <c r="F1499" s="215"/>
    </row>
    <row r="1500" ht="14.25">
      <c r="F1500" s="215"/>
    </row>
    <row r="1501" ht="14.25">
      <c r="F1501" s="215"/>
    </row>
    <row r="1502" ht="14.25">
      <c r="F1502" s="215"/>
    </row>
    <row r="1503" ht="14.25">
      <c r="F1503" s="215"/>
    </row>
    <row r="1504" ht="14.25">
      <c r="F1504" s="215"/>
    </row>
    <row r="1505" ht="14.25">
      <c r="F1505" s="215"/>
    </row>
    <row r="1506" ht="14.25">
      <c r="F1506" s="215"/>
    </row>
    <row r="1507" ht="14.25">
      <c r="F1507" s="215"/>
    </row>
    <row r="1508" ht="14.25">
      <c r="F1508" s="215"/>
    </row>
    <row r="1509" ht="14.25">
      <c r="F1509" s="215"/>
    </row>
    <row r="1510" ht="14.25">
      <c r="F1510" s="215"/>
    </row>
    <row r="1511" ht="14.25">
      <c r="F1511" s="215"/>
    </row>
    <row r="1512" ht="14.25">
      <c r="F1512" s="215"/>
    </row>
    <row r="1513" ht="14.25">
      <c r="F1513" s="215"/>
    </row>
    <row r="1514" ht="14.25">
      <c r="F1514" s="215"/>
    </row>
    <row r="1515" ht="14.25">
      <c r="F1515" s="215"/>
    </row>
    <row r="1516" ht="14.25">
      <c r="F1516" s="215"/>
    </row>
    <row r="1517" ht="14.25">
      <c r="F1517" s="215"/>
    </row>
    <row r="1518" ht="14.25">
      <c r="F1518" s="215"/>
    </row>
    <row r="1519" ht="14.25">
      <c r="F1519" s="215"/>
    </row>
    <row r="1520" ht="14.25">
      <c r="F1520" s="215"/>
    </row>
    <row r="1521" ht="14.25">
      <c r="F1521" s="215"/>
    </row>
    <row r="1522" ht="14.25">
      <c r="F1522" s="215"/>
    </row>
    <row r="1523" ht="14.25">
      <c r="F1523" s="215"/>
    </row>
    <row r="1524" ht="14.25">
      <c r="F1524" s="215"/>
    </row>
    <row r="1525" ht="14.25">
      <c r="F1525" s="215"/>
    </row>
    <row r="1526" ht="14.25">
      <c r="F1526" s="215"/>
    </row>
    <row r="1527" ht="14.25">
      <c r="F1527" s="215"/>
    </row>
    <row r="1528" ht="14.25">
      <c r="F1528" s="215"/>
    </row>
    <row r="1529" ht="14.25">
      <c r="F1529" s="215"/>
    </row>
    <row r="1530" ht="14.25">
      <c r="F1530" s="215"/>
    </row>
    <row r="1531" ht="14.25">
      <c r="F1531" s="215"/>
    </row>
    <row r="1532" ht="14.25">
      <c r="F1532" s="215"/>
    </row>
    <row r="1533" ht="14.25">
      <c r="F1533" s="215"/>
    </row>
    <row r="1534" ht="14.25">
      <c r="F1534" s="215"/>
    </row>
    <row r="1535" ht="14.25">
      <c r="F1535" s="215"/>
    </row>
    <row r="1536" ht="14.25">
      <c r="F1536" s="215"/>
    </row>
    <row r="1537" ht="14.25">
      <c r="F1537" s="215"/>
    </row>
    <row r="1538" ht="14.25">
      <c r="F1538" s="215"/>
    </row>
    <row r="1539" ht="14.25">
      <c r="F1539" s="215"/>
    </row>
    <row r="1540" ht="14.25">
      <c r="F1540" s="215"/>
    </row>
    <row r="1541" ht="14.25">
      <c r="F1541" s="215"/>
    </row>
    <row r="1542" ht="14.25">
      <c r="F1542" s="215"/>
    </row>
    <row r="1543" ht="14.25">
      <c r="F1543" s="215"/>
    </row>
    <row r="1544" ht="14.25">
      <c r="F1544" s="215"/>
    </row>
    <row r="1545" ht="14.25">
      <c r="F1545" s="215"/>
    </row>
    <row r="1546" ht="14.25">
      <c r="F1546" s="215"/>
    </row>
    <row r="1547" ht="14.25">
      <c r="F1547" s="215"/>
    </row>
    <row r="1548" ht="14.25">
      <c r="F1548" s="215"/>
    </row>
    <row r="1549" ht="14.25">
      <c r="F1549" s="215"/>
    </row>
    <row r="1550" ht="14.25">
      <c r="F1550" s="215"/>
    </row>
    <row r="1551" ht="14.25">
      <c r="F1551" s="215"/>
    </row>
    <row r="1552" ht="14.25">
      <c r="F1552" s="215"/>
    </row>
    <row r="1553" ht="14.25">
      <c r="F1553" s="215"/>
    </row>
    <row r="1554" ht="14.25">
      <c r="F1554" s="215"/>
    </row>
    <row r="1555" ht="14.25">
      <c r="F1555" s="215"/>
    </row>
    <row r="1556" ht="14.25">
      <c r="F1556" s="215"/>
    </row>
    <row r="1557" ht="14.25">
      <c r="F1557" s="215"/>
    </row>
    <row r="1558" ht="14.25">
      <c r="F1558" s="215"/>
    </row>
    <row r="1559" ht="14.25">
      <c r="F1559" s="215"/>
    </row>
    <row r="1560" ht="14.25">
      <c r="F1560" s="215"/>
    </row>
    <row r="1561" ht="14.25">
      <c r="F1561" s="215"/>
    </row>
    <row r="1562" ht="14.25">
      <c r="F1562" s="215"/>
    </row>
    <row r="1563" ht="14.25">
      <c r="F1563" s="215"/>
    </row>
    <row r="1564" ht="14.25">
      <c r="F1564" s="215"/>
    </row>
    <row r="1565" ht="14.25">
      <c r="F1565" s="215"/>
    </row>
    <row r="1566" ht="14.25">
      <c r="F1566" s="215"/>
    </row>
    <row r="1567" ht="14.25">
      <c r="F1567" s="215"/>
    </row>
    <row r="1568" ht="14.25">
      <c r="F1568" s="215"/>
    </row>
    <row r="1569" ht="14.25">
      <c r="F1569" s="215"/>
    </row>
    <row r="1570" ht="14.25">
      <c r="F1570" s="215"/>
    </row>
    <row r="1571" ht="14.25">
      <c r="F1571" s="215"/>
    </row>
    <row r="1572" ht="14.25">
      <c r="F1572" s="215"/>
    </row>
    <row r="1573" ht="14.25">
      <c r="F1573" s="215"/>
    </row>
    <row r="1574" ht="14.25">
      <c r="F1574" s="215"/>
    </row>
    <row r="1575" ht="14.25">
      <c r="F1575" s="215"/>
    </row>
    <row r="1576" ht="14.25">
      <c r="F1576" s="215"/>
    </row>
    <row r="1577" ht="14.25">
      <c r="F1577" s="215"/>
    </row>
    <row r="1578" ht="14.25">
      <c r="F1578" s="215"/>
    </row>
    <row r="1579" ht="14.25">
      <c r="F1579" s="215"/>
    </row>
    <row r="1580" ht="14.25">
      <c r="F1580" s="215"/>
    </row>
    <row r="1581" ht="14.25">
      <c r="F1581" s="215"/>
    </row>
    <row r="1582" ht="14.25">
      <c r="F1582" s="215"/>
    </row>
    <row r="1583" ht="14.25">
      <c r="F1583" s="215"/>
    </row>
    <row r="1584" ht="14.25">
      <c r="F1584" s="215"/>
    </row>
    <row r="1585" ht="14.25">
      <c r="F1585" s="215"/>
    </row>
    <row r="1586" ht="14.25">
      <c r="F1586" s="215"/>
    </row>
    <row r="1587" ht="14.25">
      <c r="F1587" s="215"/>
    </row>
    <row r="1588" ht="14.25">
      <c r="F1588" s="215"/>
    </row>
    <row r="1589" ht="14.25">
      <c r="F1589" s="215"/>
    </row>
    <row r="1590" ht="14.25">
      <c r="F1590" s="215"/>
    </row>
    <row r="1591" ht="14.25">
      <c r="F1591" s="215"/>
    </row>
    <row r="1592" ht="14.25">
      <c r="F1592" s="215"/>
    </row>
    <row r="1593" ht="14.25">
      <c r="F1593" s="215"/>
    </row>
    <row r="1594" ht="14.25">
      <c r="F1594" s="215"/>
    </row>
    <row r="1595" ht="14.25">
      <c r="F1595" s="215"/>
    </row>
    <row r="1596" ht="14.25">
      <c r="F1596" s="215"/>
    </row>
    <row r="1597" ht="14.25">
      <c r="F1597" s="215"/>
    </row>
    <row r="1598" ht="14.25">
      <c r="F1598" s="215"/>
    </row>
    <row r="1599" ht="14.25">
      <c r="F1599" s="215"/>
    </row>
    <row r="1600" ht="14.25">
      <c r="F1600" s="215"/>
    </row>
    <row r="1601" ht="14.25">
      <c r="F1601" s="215"/>
    </row>
    <row r="1602" ht="14.25">
      <c r="F1602" s="215"/>
    </row>
    <row r="1603" ht="14.25">
      <c r="F1603" s="215"/>
    </row>
    <row r="1604" ht="14.25">
      <c r="F1604" s="215"/>
    </row>
    <row r="1605" ht="14.25">
      <c r="F1605" s="215"/>
    </row>
    <row r="1606" ht="14.25">
      <c r="F1606" s="215"/>
    </row>
    <row r="1607" ht="14.25">
      <c r="F1607" s="215"/>
    </row>
    <row r="1608" ht="14.25">
      <c r="F1608" s="215"/>
    </row>
    <row r="1609" ht="14.25">
      <c r="F1609" s="215"/>
    </row>
    <row r="1610" ht="14.25">
      <c r="F1610" s="215"/>
    </row>
    <row r="1611" ht="14.25">
      <c r="F1611" s="215"/>
    </row>
    <row r="1612" ht="14.25">
      <c r="F1612" s="215"/>
    </row>
    <row r="1613" ht="14.25">
      <c r="F1613" s="215"/>
    </row>
    <row r="1614" ht="14.25">
      <c r="F1614" s="215"/>
    </row>
    <row r="1615" ht="14.25">
      <c r="F1615" s="215"/>
    </row>
    <row r="1616" ht="14.25">
      <c r="F1616" s="215"/>
    </row>
    <row r="1617" ht="14.25">
      <c r="F1617" s="215"/>
    </row>
    <row r="1618" ht="14.25">
      <c r="F1618" s="215"/>
    </row>
    <row r="1619" ht="14.25">
      <c r="F1619" s="215"/>
    </row>
    <row r="1620" ht="14.25">
      <c r="F1620" s="215"/>
    </row>
    <row r="1621" ht="14.25">
      <c r="F1621" s="215"/>
    </row>
    <row r="1622" ht="14.25">
      <c r="F1622" s="215"/>
    </row>
    <row r="1623" ht="14.25">
      <c r="F1623" s="215"/>
    </row>
    <row r="1624" ht="14.25">
      <c r="F1624" s="215"/>
    </row>
    <row r="1625" ht="14.25">
      <c r="F1625" s="215"/>
    </row>
    <row r="1626" ht="14.25">
      <c r="F1626" s="215"/>
    </row>
    <row r="1627" ht="14.25">
      <c r="F1627" s="215"/>
    </row>
    <row r="1628" ht="14.25">
      <c r="F1628" s="215"/>
    </row>
    <row r="1629" ht="14.25">
      <c r="F1629" s="215"/>
    </row>
    <row r="1630" ht="14.25">
      <c r="F1630" s="215"/>
    </row>
    <row r="1631" ht="14.25">
      <c r="F1631" s="215"/>
    </row>
    <row r="1632" ht="14.25">
      <c r="F1632" s="215"/>
    </row>
    <row r="1633" ht="14.25">
      <c r="F1633" s="215"/>
    </row>
    <row r="1634" ht="14.25">
      <c r="F1634" s="215"/>
    </row>
    <row r="1635" ht="14.25">
      <c r="F1635" s="215"/>
    </row>
    <row r="1636" ht="14.25">
      <c r="F1636" s="215"/>
    </row>
    <row r="1637" ht="14.25">
      <c r="F1637" s="215"/>
    </row>
    <row r="1638" ht="14.25">
      <c r="F1638" s="215"/>
    </row>
    <row r="1639" ht="14.25">
      <c r="F1639" s="215"/>
    </row>
    <row r="1640" ht="14.25">
      <c r="F1640" s="215"/>
    </row>
    <row r="1641" ht="14.25">
      <c r="F1641" s="215"/>
    </row>
    <row r="1642" ht="14.25">
      <c r="F1642" s="215"/>
    </row>
    <row r="1643" ht="14.25">
      <c r="F1643" s="215"/>
    </row>
    <row r="1644" ht="14.25">
      <c r="F1644" s="215"/>
    </row>
    <row r="1645" ht="14.25">
      <c r="F1645" s="215"/>
    </row>
    <row r="1646" ht="14.25">
      <c r="F1646" s="215"/>
    </row>
    <row r="1647" ht="14.25">
      <c r="F1647" s="215"/>
    </row>
    <row r="1648" ht="14.25">
      <c r="F1648" s="215"/>
    </row>
    <row r="1649" ht="14.25">
      <c r="F1649" s="215"/>
    </row>
    <row r="1650" ht="14.25">
      <c r="F1650" s="215"/>
    </row>
    <row r="1651" ht="14.25">
      <c r="F1651" s="215"/>
    </row>
    <row r="1652" ht="14.25">
      <c r="F1652" s="215"/>
    </row>
    <row r="1653" ht="14.25">
      <c r="F1653" s="215"/>
    </row>
    <row r="1654" ht="14.25">
      <c r="F1654" s="215"/>
    </row>
    <row r="1655" ht="14.25">
      <c r="F1655" s="215"/>
    </row>
    <row r="1656" ht="14.25">
      <c r="F1656" s="215"/>
    </row>
    <row r="1657" ht="14.25">
      <c r="F1657" s="215"/>
    </row>
    <row r="1658" ht="14.25">
      <c r="F1658" s="215"/>
    </row>
    <row r="1659" ht="14.25">
      <c r="F1659" s="215"/>
    </row>
    <row r="1660" ht="14.25">
      <c r="F1660" s="215"/>
    </row>
    <row r="1661" ht="14.25">
      <c r="F1661" s="215"/>
    </row>
    <row r="1662" ht="14.25">
      <c r="F1662" s="215"/>
    </row>
    <row r="1663" ht="14.25">
      <c r="F1663" s="215"/>
    </row>
    <row r="1664" ht="14.25">
      <c r="F1664" s="215"/>
    </row>
    <row r="1665" ht="14.25">
      <c r="F1665" s="215"/>
    </row>
    <row r="1666" ht="14.25">
      <c r="F1666" s="215"/>
    </row>
    <row r="1667" ht="14.25">
      <c r="F1667" s="215"/>
    </row>
    <row r="1668" ht="14.25">
      <c r="F1668" s="215"/>
    </row>
    <row r="1669" ht="14.25">
      <c r="F1669" s="215"/>
    </row>
    <row r="1670" ht="14.25">
      <c r="F1670" s="215"/>
    </row>
    <row r="1671" ht="14.25">
      <c r="F1671" s="215"/>
    </row>
    <row r="1672" ht="14.25">
      <c r="F1672" s="215"/>
    </row>
    <row r="1673" ht="14.25">
      <c r="F1673" s="215"/>
    </row>
    <row r="1674" ht="14.25">
      <c r="F1674" s="215"/>
    </row>
    <row r="1675" ht="14.25">
      <c r="F1675" s="215"/>
    </row>
    <row r="1676" ht="14.25">
      <c r="F1676" s="215"/>
    </row>
    <row r="1677" ht="14.25">
      <c r="F1677" s="215"/>
    </row>
    <row r="1678" ht="14.25">
      <c r="F1678" s="215"/>
    </row>
    <row r="1679" ht="14.25">
      <c r="F1679" s="215"/>
    </row>
    <row r="1680" ht="14.25">
      <c r="F1680" s="215"/>
    </row>
    <row r="1681" ht="14.25">
      <c r="F1681" s="215"/>
    </row>
    <row r="1682" ht="14.25">
      <c r="F1682" s="215"/>
    </row>
    <row r="1683" ht="14.25">
      <c r="F1683" s="215"/>
    </row>
    <row r="1684" ht="14.25">
      <c r="F1684" s="215"/>
    </row>
    <row r="1685" ht="14.25">
      <c r="F1685" s="215"/>
    </row>
    <row r="1686" ht="14.25">
      <c r="F1686" s="215"/>
    </row>
    <row r="1687" ht="14.25">
      <c r="F1687" s="215"/>
    </row>
    <row r="1688" ht="14.25">
      <c r="F1688" s="215"/>
    </row>
    <row r="1689" ht="14.25">
      <c r="F1689" s="215"/>
    </row>
    <row r="1690" ht="14.25">
      <c r="F1690" s="215"/>
    </row>
    <row r="1691" ht="14.25">
      <c r="F1691" s="215"/>
    </row>
    <row r="1692" ht="14.25">
      <c r="F1692" s="215"/>
    </row>
    <row r="1693" ht="14.25">
      <c r="F1693" s="215"/>
    </row>
    <row r="1694" ht="14.25">
      <c r="F1694" s="215"/>
    </row>
    <row r="1695" ht="14.25">
      <c r="F1695" s="215"/>
    </row>
    <row r="1696" ht="14.25">
      <c r="F1696" s="215"/>
    </row>
    <row r="1697" ht="14.25">
      <c r="F1697" s="215"/>
    </row>
    <row r="1698" ht="14.25">
      <c r="F1698" s="215"/>
    </row>
    <row r="1699" ht="14.25">
      <c r="F1699" s="215"/>
    </row>
    <row r="1700" ht="14.25">
      <c r="F1700" s="215"/>
    </row>
    <row r="1701" ht="14.25">
      <c r="F1701" s="215"/>
    </row>
    <row r="1702" ht="14.25">
      <c r="F1702" s="215"/>
    </row>
    <row r="1703" ht="14.25">
      <c r="F1703" s="215"/>
    </row>
    <row r="1704" ht="14.25">
      <c r="F1704" s="215"/>
    </row>
    <row r="1705" ht="14.25">
      <c r="F1705" s="215"/>
    </row>
    <row r="1706" ht="14.25">
      <c r="F1706" s="215"/>
    </row>
    <row r="1707" ht="14.25">
      <c r="F1707" s="215"/>
    </row>
    <row r="1708" ht="14.25">
      <c r="F1708" s="215"/>
    </row>
    <row r="1709" ht="14.25">
      <c r="F1709" s="215"/>
    </row>
    <row r="1710" ht="14.25">
      <c r="F1710" s="215"/>
    </row>
    <row r="1711" ht="14.25">
      <c r="F1711" s="215"/>
    </row>
    <row r="1712" ht="14.25">
      <c r="F1712" s="215"/>
    </row>
    <row r="1713" ht="14.25">
      <c r="F1713" s="215"/>
    </row>
    <row r="1714" ht="14.25">
      <c r="F1714" s="215"/>
    </row>
    <row r="1715" ht="14.25">
      <c r="F1715" s="215"/>
    </row>
    <row r="1716" ht="14.25">
      <c r="F1716" s="215"/>
    </row>
    <row r="1717" ht="14.25">
      <c r="F1717" s="215"/>
    </row>
    <row r="1718" ht="14.25">
      <c r="F1718" s="215"/>
    </row>
    <row r="1719" ht="14.25">
      <c r="F1719" s="215"/>
    </row>
    <row r="1720" ht="14.25">
      <c r="F1720" s="215"/>
    </row>
    <row r="1721" ht="14.25">
      <c r="F1721" s="215"/>
    </row>
    <row r="1722" ht="14.25">
      <c r="F1722" s="215"/>
    </row>
    <row r="1723" ht="14.25">
      <c r="F1723" s="215"/>
    </row>
    <row r="1724" ht="14.25">
      <c r="F1724" s="215"/>
    </row>
    <row r="1725" ht="14.25">
      <c r="F1725" s="215"/>
    </row>
    <row r="1726" ht="14.25">
      <c r="F1726" s="215"/>
    </row>
    <row r="1727" ht="14.25">
      <c r="F1727" s="215"/>
    </row>
    <row r="1728" ht="14.25">
      <c r="F1728" s="215"/>
    </row>
    <row r="1729" ht="14.25">
      <c r="F1729" s="215"/>
    </row>
    <row r="1730" ht="14.25">
      <c r="F1730" s="215"/>
    </row>
    <row r="1731" ht="14.25">
      <c r="F1731" s="215"/>
    </row>
    <row r="1732" ht="14.25">
      <c r="F1732" s="215"/>
    </row>
    <row r="1733" ht="14.25">
      <c r="F1733" s="215"/>
    </row>
    <row r="1734" ht="14.25">
      <c r="F1734" s="215"/>
    </row>
    <row r="1735" ht="14.25">
      <c r="F1735" s="215"/>
    </row>
    <row r="1736" ht="14.25">
      <c r="F1736" s="215"/>
    </row>
    <row r="1737" ht="14.25">
      <c r="F1737" s="215"/>
    </row>
    <row r="1738" ht="14.25">
      <c r="F1738" s="215"/>
    </row>
    <row r="1739" ht="14.25">
      <c r="F1739" s="215"/>
    </row>
    <row r="1740" ht="14.25">
      <c r="F1740" s="215"/>
    </row>
    <row r="1741" ht="14.25">
      <c r="F1741" s="215"/>
    </row>
    <row r="1742" ht="14.25">
      <c r="F1742" s="215"/>
    </row>
    <row r="1743" ht="14.25">
      <c r="F1743" s="215"/>
    </row>
    <row r="1744" ht="14.25">
      <c r="F1744" s="215"/>
    </row>
    <row r="1745" ht="14.25">
      <c r="F1745" s="215"/>
    </row>
    <row r="1746" ht="14.25">
      <c r="F1746" s="215"/>
    </row>
    <row r="1747" ht="14.25">
      <c r="F1747" s="215"/>
    </row>
    <row r="1748" ht="14.25">
      <c r="F1748" s="215"/>
    </row>
    <row r="1749" ht="14.25">
      <c r="F1749" s="215"/>
    </row>
    <row r="1750" ht="14.25">
      <c r="F1750" s="215"/>
    </row>
    <row r="1751" ht="14.25">
      <c r="F1751" s="215"/>
    </row>
    <row r="1752" ht="14.25">
      <c r="F1752" s="215"/>
    </row>
    <row r="1753" ht="14.25">
      <c r="F1753" s="215"/>
    </row>
    <row r="1754" ht="14.25">
      <c r="F1754" s="215"/>
    </row>
    <row r="1755" ht="14.25">
      <c r="F1755" s="215"/>
    </row>
    <row r="1756" ht="14.25">
      <c r="F1756" s="215"/>
    </row>
    <row r="1757" ht="14.25">
      <c r="F1757" s="215"/>
    </row>
    <row r="1758" ht="14.25">
      <c r="F1758" s="215"/>
    </row>
    <row r="1759" ht="14.25">
      <c r="F1759" s="215"/>
    </row>
    <row r="1760" ht="14.25">
      <c r="F1760" s="215"/>
    </row>
    <row r="1761" ht="14.25">
      <c r="F1761" s="215"/>
    </row>
    <row r="1762" ht="14.25">
      <c r="F1762" s="215"/>
    </row>
    <row r="1763" ht="14.25">
      <c r="F1763" s="215"/>
    </row>
    <row r="1764" ht="14.25">
      <c r="F1764" s="215"/>
    </row>
    <row r="1765" ht="14.25">
      <c r="F1765" s="215"/>
    </row>
    <row r="1766" ht="14.25">
      <c r="F1766" s="215"/>
    </row>
    <row r="1767" ht="14.25">
      <c r="F1767" s="215"/>
    </row>
    <row r="1768" ht="14.25">
      <c r="F1768" s="215"/>
    </row>
    <row r="1769" ht="14.25">
      <c r="F1769" s="215"/>
    </row>
    <row r="1770" ht="14.25">
      <c r="F1770" s="215"/>
    </row>
    <row r="1771" ht="14.25">
      <c r="F1771" s="215"/>
    </row>
    <row r="1772" ht="14.25">
      <c r="F1772" s="215"/>
    </row>
    <row r="1773" ht="14.25">
      <c r="F1773" s="215"/>
    </row>
    <row r="1774" ht="14.25">
      <c r="F1774" s="215"/>
    </row>
    <row r="1775" ht="14.25">
      <c r="F1775" s="215"/>
    </row>
    <row r="1776" ht="14.25">
      <c r="F1776" s="215"/>
    </row>
    <row r="1777" ht="14.25">
      <c r="F1777" s="215"/>
    </row>
    <row r="1778" ht="14.25">
      <c r="F1778" s="215"/>
    </row>
    <row r="1779" ht="14.25">
      <c r="F1779" s="215"/>
    </row>
    <row r="1780" ht="14.25">
      <c r="F1780" s="215"/>
    </row>
    <row r="1781" ht="14.25">
      <c r="F1781" s="215"/>
    </row>
    <row r="1782" ht="14.25">
      <c r="F1782" s="215"/>
    </row>
    <row r="1783" ht="14.25">
      <c r="F1783" s="215"/>
    </row>
    <row r="1784" ht="14.25">
      <c r="F1784" s="215"/>
    </row>
    <row r="1785" ht="14.25">
      <c r="F1785" s="215"/>
    </row>
    <row r="1786" ht="14.25">
      <c r="F1786" s="215"/>
    </row>
    <row r="1787" ht="14.25">
      <c r="F1787" s="215"/>
    </row>
    <row r="1788" ht="14.25">
      <c r="F1788" s="215"/>
    </row>
    <row r="1789" ht="14.25">
      <c r="F1789" s="215"/>
    </row>
    <row r="1790" ht="14.25">
      <c r="F1790" s="215"/>
    </row>
    <row r="1791" ht="14.25">
      <c r="F1791" s="215"/>
    </row>
    <row r="1792" ht="14.25">
      <c r="F1792" s="215"/>
    </row>
    <row r="1793" ht="14.25">
      <c r="F1793" s="215"/>
    </row>
    <row r="1794" ht="14.25">
      <c r="F1794" s="215"/>
    </row>
    <row r="1795" ht="14.25">
      <c r="F1795" s="215"/>
    </row>
    <row r="1796" ht="14.25">
      <c r="F1796" s="215"/>
    </row>
    <row r="1797" ht="14.25">
      <c r="F1797" s="215"/>
    </row>
    <row r="1798" ht="14.25">
      <c r="F1798" s="215"/>
    </row>
    <row r="1799" ht="14.25">
      <c r="F1799" s="215"/>
    </row>
    <row r="1800" ht="14.25">
      <c r="F1800" s="215"/>
    </row>
    <row r="1801" ht="14.25">
      <c r="F1801" s="215"/>
    </row>
    <row r="1802" ht="14.25">
      <c r="F1802" s="215"/>
    </row>
    <row r="1803" ht="14.25">
      <c r="F1803" s="215"/>
    </row>
    <row r="1804" ht="14.25">
      <c r="F1804" s="215"/>
    </row>
    <row r="1805" ht="14.25">
      <c r="F1805" s="215"/>
    </row>
    <row r="1806" ht="14.25">
      <c r="F1806" s="215"/>
    </row>
    <row r="1807" ht="14.25">
      <c r="F1807" s="215"/>
    </row>
    <row r="1808" ht="14.25">
      <c r="F1808" s="215"/>
    </row>
    <row r="1809" ht="14.25">
      <c r="F1809" s="215"/>
    </row>
    <row r="1810" ht="14.25">
      <c r="F1810" s="215"/>
    </row>
    <row r="1811" ht="14.25">
      <c r="F1811" s="215"/>
    </row>
    <row r="1812" ht="14.25">
      <c r="F1812" s="215"/>
    </row>
    <row r="1813" ht="14.25">
      <c r="F1813" s="215"/>
    </row>
    <row r="1814" ht="14.25">
      <c r="F1814" s="215"/>
    </row>
    <row r="1815" ht="14.25">
      <c r="F1815" s="215"/>
    </row>
    <row r="1816" ht="14.25">
      <c r="F1816" s="215"/>
    </row>
    <row r="1817" ht="14.25">
      <c r="F1817" s="215"/>
    </row>
    <row r="1818" ht="14.25">
      <c r="F1818" s="215"/>
    </row>
    <row r="1819" ht="14.25">
      <c r="F1819" s="215"/>
    </row>
    <row r="1820" ht="14.25">
      <c r="F1820" s="215"/>
    </row>
    <row r="1821" ht="14.25">
      <c r="F1821" s="215"/>
    </row>
    <row r="1822" ht="14.25">
      <c r="F1822" s="215"/>
    </row>
    <row r="1823" ht="14.25">
      <c r="F1823" s="215"/>
    </row>
    <row r="1824" ht="14.25">
      <c r="F1824" s="215"/>
    </row>
    <row r="1825" ht="14.25">
      <c r="F1825" s="215"/>
    </row>
    <row r="1826" ht="14.25">
      <c r="F1826" s="215"/>
    </row>
    <row r="1827" ht="14.25">
      <c r="F1827" s="215"/>
    </row>
    <row r="1828" ht="14.25">
      <c r="F1828" s="215"/>
    </row>
    <row r="1829" ht="14.25">
      <c r="F1829" s="215"/>
    </row>
    <row r="1830" ht="14.25">
      <c r="F1830" s="215"/>
    </row>
    <row r="1831" ht="14.25">
      <c r="F1831" s="215"/>
    </row>
    <row r="1832" ht="14.25">
      <c r="F1832" s="215"/>
    </row>
    <row r="1833" ht="14.25">
      <c r="F1833" s="215"/>
    </row>
    <row r="1834" ht="14.25">
      <c r="F1834" s="215"/>
    </row>
    <row r="1835" ht="14.25">
      <c r="F1835" s="215"/>
    </row>
    <row r="1836" ht="14.25">
      <c r="F1836" s="215"/>
    </row>
    <row r="1837" ht="14.25">
      <c r="F1837" s="215"/>
    </row>
    <row r="1838" ht="14.25">
      <c r="F1838" s="215"/>
    </row>
    <row r="1839" ht="14.25">
      <c r="F1839" s="215"/>
    </row>
    <row r="1840" ht="14.25">
      <c r="F1840" s="215"/>
    </row>
    <row r="1841" ht="14.25">
      <c r="F1841" s="215"/>
    </row>
    <row r="1842" ht="14.25">
      <c r="F1842" s="215"/>
    </row>
    <row r="1843" ht="14.25">
      <c r="F1843" s="215"/>
    </row>
    <row r="1844" ht="14.25">
      <c r="F1844" s="215"/>
    </row>
    <row r="1845" ht="14.25">
      <c r="F1845" s="215"/>
    </row>
    <row r="1846" ht="14.25">
      <c r="F1846" s="215"/>
    </row>
    <row r="1847" ht="14.25">
      <c r="F1847" s="215"/>
    </row>
  </sheetData>
  <mergeCells count="30">
    <mergeCell ref="B127:C127"/>
    <mergeCell ref="B72:C72"/>
    <mergeCell ref="B77:B78"/>
    <mergeCell ref="B114:C114"/>
    <mergeCell ref="B119:C119"/>
    <mergeCell ref="B93:C93"/>
    <mergeCell ref="B55:B56"/>
    <mergeCell ref="B57:B58"/>
    <mergeCell ref="B128:B135"/>
    <mergeCell ref="B62:B63"/>
    <mergeCell ref="B64:B65"/>
    <mergeCell ref="B68:C68"/>
    <mergeCell ref="B97:C97"/>
    <mergeCell ref="B102:C102"/>
    <mergeCell ref="B123:C123"/>
    <mergeCell ref="B109:C109"/>
    <mergeCell ref="B42:C42"/>
    <mergeCell ref="B20:C20"/>
    <mergeCell ref="B48:B49"/>
    <mergeCell ref="B52:B54"/>
    <mergeCell ref="B81:C81"/>
    <mergeCell ref="B87:C87"/>
    <mergeCell ref="B59:B60"/>
    <mergeCell ref="B1:C1"/>
    <mergeCell ref="B3:C3"/>
    <mergeCell ref="B8:B9"/>
    <mergeCell ref="B11:B12"/>
    <mergeCell ref="B16:B17"/>
    <mergeCell ref="B24:C24"/>
    <mergeCell ref="B29:B30"/>
  </mergeCells>
  <printOptions horizontalCentered="1"/>
  <pageMargins left="0" right="0" top="1.1811023622047245" bottom="0.7874015748031497" header="0.35433070866141736" footer="0.1968503937007874"/>
  <pageSetup firstPageNumber="180" useFirstPageNumber="1" horizontalDpi="600" verticalDpi="600" orientation="landscape" paperSize="9" r:id="rId2"/>
  <headerFooter alignWithMargins="0">
    <oddFooter>&amp;LPartea a IV-a&amp;R&amp;P</oddFooter>
  </headerFooter>
  <rowBreaks count="7" manualBreakCount="7">
    <brk id="22" max="5" man="1"/>
    <brk id="40" max="5" man="1"/>
    <brk id="60" max="5" man="1"/>
    <brk id="79" max="5" man="1"/>
    <brk id="100" max="5" man="1"/>
    <brk id="121" max="5" man="1"/>
    <brk id="141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75" zoomScaleSheetLayoutView="100" workbookViewId="0" topLeftCell="A37">
      <selection activeCell="A48" sqref="A48"/>
    </sheetView>
  </sheetViews>
  <sheetFormatPr defaultColWidth="9.140625" defaultRowHeight="12.75"/>
  <cols>
    <col min="1" max="1" width="4.7109375" style="371" customWidth="1"/>
    <col min="2" max="2" width="21.421875" style="0" customWidth="1"/>
    <col min="3" max="3" width="65.140625" style="370" customWidth="1"/>
    <col min="4" max="4" width="14.140625" style="371" customWidth="1"/>
    <col min="5" max="5" width="14.7109375" style="369" customWidth="1"/>
    <col min="6" max="6" width="19.28125" style="0" customWidth="1"/>
  </cols>
  <sheetData>
    <row r="1" spans="2:6" ht="15.75">
      <c r="B1" s="599" t="s">
        <v>868</v>
      </c>
      <c r="C1" s="599"/>
      <c r="D1" s="599"/>
      <c r="E1" s="599"/>
      <c r="F1" s="599"/>
    </row>
    <row r="3" spans="1:6" ht="45">
      <c r="A3" s="108" t="s">
        <v>602</v>
      </c>
      <c r="B3" s="108" t="s">
        <v>309</v>
      </c>
      <c r="C3" s="108" t="s">
        <v>616</v>
      </c>
      <c r="D3" s="108" t="s">
        <v>604</v>
      </c>
      <c r="E3" s="207" t="s">
        <v>615</v>
      </c>
      <c r="F3" s="108" t="s">
        <v>802</v>
      </c>
    </row>
    <row r="4" spans="1:6" ht="15">
      <c r="A4" s="600" t="s">
        <v>269</v>
      </c>
      <c r="B4" s="545"/>
      <c r="C4" s="545"/>
      <c r="D4" s="545"/>
      <c r="E4" s="545"/>
      <c r="F4" s="601"/>
    </row>
    <row r="5" spans="1:6" ht="28.5">
      <c r="A5" s="1">
        <v>1</v>
      </c>
      <c r="B5" s="1" t="s">
        <v>940</v>
      </c>
      <c r="C5" s="2" t="s">
        <v>311</v>
      </c>
      <c r="D5" s="1" t="s">
        <v>606</v>
      </c>
      <c r="E5" s="216">
        <v>32818.17</v>
      </c>
      <c r="F5" s="1" t="s">
        <v>941</v>
      </c>
    </row>
    <row r="6" spans="1:6" ht="28.5">
      <c r="A6" s="372">
        <v>2</v>
      </c>
      <c r="B6" s="1" t="s">
        <v>940</v>
      </c>
      <c r="C6" s="17" t="s">
        <v>533</v>
      </c>
      <c r="D6" s="372" t="s">
        <v>606</v>
      </c>
      <c r="E6" s="136">
        <v>1300</v>
      </c>
      <c r="F6" s="4" t="s">
        <v>941</v>
      </c>
    </row>
    <row r="7" spans="1:6" ht="15">
      <c r="A7" s="603" t="s">
        <v>270</v>
      </c>
      <c r="B7" s="604"/>
      <c r="C7" s="604"/>
      <c r="D7" s="243"/>
      <c r="E7" s="243"/>
      <c r="F7" s="378"/>
    </row>
    <row r="8" spans="1:6" ht="28.5">
      <c r="A8" s="372">
        <v>1</v>
      </c>
      <c r="B8" s="1" t="s">
        <v>940</v>
      </c>
      <c r="C8" s="17" t="s">
        <v>308</v>
      </c>
      <c r="D8" s="372" t="s">
        <v>606</v>
      </c>
      <c r="E8" s="373">
        <v>34000</v>
      </c>
      <c r="F8" s="4" t="s">
        <v>614</v>
      </c>
    </row>
    <row r="9" spans="1:6" ht="28.5">
      <c r="A9" s="372">
        <v>2</v>
      </c>
      <c r="B9" s="1" t="s">
        <v>940</v>
      </c>
      <c r="C9" s="17" t="s">
        <v>310</v>
      </c>
      <c r="D9" s="372" t="s">
        <v>606</v>
      </c>
      <c r="E9" s="136">
        <v>2821.75</v>
      </c>
      <c r="F9" s="4" t="s">
        <v>593</v>
      </c>
    </row>
    <row r="10" spans="1:6" ht="28.5">
      <c r="A10" s="372">
        <v>3</v>
      </c>
      <c r="B10" s="1" t="s">
        <v>940</v>
      </c>
      <c r="C10" s="162" t="s">
        <v>965</v>
      </c>
      <c r="D10" s="16" t="s">
        <v>606</v>
      </c>
      <c r="E10" s="125">
        <v>5570.17891891892</v>
      </c>
      <c r="F10" s="16" t="s">
        <v>614</v>
      </c>
    </row>
    <row r="11" spans="1:6" s="19" customFormat="1" ht="28.5">
      <c r="A11" s="4">
        <v>4</v>
      </c>
      <c r="B11" s="1" t="s">
        <v>940</v>
      </c>
      <c r="C11" s="2" t="s">
        <v>312</v>
      </c>
      <c r="D11" s="4" t="s">
        <v>607</v>
      </c>
      <c r="E11" s="136">
        <v>1040</v>
      </c>
      <c r="F11" s="4" t="s">
        <v>593</v>
      </c>
    </row>
    <row r="12" spans="1:6" s="19" customFormat="1" ht="15">
      <c r="A12" s="603" t="s">
        <v>271</v>
      </c>
      <c r="B12" s="604"/>
      <c r="C12" s="604"/>
      <c r="D12" s="243"/>
      <c r="E12" s="243"/>
      <c r="F12" s="378"/>
    </row>
    <row r="13" spans="1:6" ht="28.5">
      <c r="A13" s="14">
        <v>1</v>
      </c>
      <c r="B13" s="1" t="s">
        <v>940</v>
      </c>
      <c r="C13" s="164" t="s">
        <v>907</v>
      </c>
      <c r="D13" s="199" t="s">
        <v>606</v>
      </c>
      <c r="E13" s="198">
        <v>3552</v>
      </c>
      <c r="F13" s="1" t="s">
        <v>942</v>
      </c>
    </row>
    <row r="14" spans="1:6" ht="28.5">
      <c r="A14" s="14">
        <v>2</v>
      </c>
      <c r="B14" s="1" t="s">
        <v>940</v>
      </c>
      <c r="C14" s="164" t="s">
        <v>903</v>
      </c>
      <c r="D14" s="4" t="s">
        <v>606</v>
      </c>
      <c r="E14" s="122">
        <v>110</v>
      </c>
      <c r="F14" s="1" t="s">
        <v>942</v>
      </c>
    </row>
    <row r="15" spans="1:6" ht="28.5">
      <c r="A15" s="14">
        <v>3</v>
      </c>
      <c r="B15" s="1" t="s">
        <v>940</v>
      </c>
      <c r="C15" s="164" t="s">
        <v>909</v>
      </c>
      <c r="D15" s="200" t="s">
        <v>910</v>
      </c>
      <c r="E15" s="198">
        <v>125</v>
      </c>
      <c r="F15" s="1" t="s">
        <v>612</v>
      </c>
    </row>
    <row r="16" spans="1:6" ht="28.5">
      <c r="A16" s="14">
        <v>4</v>
      </c>
      <c r="B16" s="1" t="s">
        <v>940</v>
      </c>
      <c r="C16" s="164" t="s">
        <v>911</v>
      </c>
      <c r="D16" s="200" t="s">
        <v>910</v>
      </c>
      <c r="E16" s="198">
        <v>950</v>
      </c>
      <c r="F16" s="1" t="s">
        <v>942</v>
      </c>
    </row>
    <row r="17" spans="1:6" ht="28.5">
      <c r="A17" s="14">
        <v>5</v>
      </c>
      <c r="B17" s="1" t="s">
        <v>940</v>
      </c>
      <c r="C17" s="164" t="s">
        <v>904</v>
      </c>
      <c r="D17" s="4" t="s">
        <v>605</v>
      </c>
      <c r="E17" s="122">
        <v>152</v>
      </c>
      <c r="F17" s="1" t="s">
        <v>942</v>
      </c>
    </row>
    <row r="18" spans="1:6" ht="28.5">
      <c r="A18" s="14">
        <v>6</v>
      </c>
      <c r="B18" s="1" t="s">
        <v>940</v>
      </c>
      <c r="C18" s="164" t="s">
        <v>905</v>
      </c>
      <c r="D18" s="4" t="s">
        <v>605</v>
      </c>
      <c r="E18" s="122">
        <v>14</v>
      </c>
      <c r="F18" s="1" t="s">
        <v>942</v>
      </c>
    </row>
    <row r="19" spans="1:6" ht="28.5">
      <c r="A19" s="14">
        <v>7</v>
      </c>
      <c r="B19" s="1" t="s">
        <v>940</v>
      </c>
      <c r="C19" s="164" t="s">
        <v>906</v>
      </c>
      <c r="D19" s="4" t="s">
        <v>605</v>
      </c>
      <c r="E19" s="198">
        <v>300</v>
      </c>
      <c r="F19" s="1" t="s">
        <v>942</v>
      </c>
    </row>
    <row r="20" spans="1:6" ht="29.25" thickBot="1">
      <c r="A20" s="379">
        <v>8</v>
      </c>
      <c r="B20" s="380" t="s">
        <v>940</v>
      </c>
      <c r="C20" s="469" t="s">
        <v>908</v>
      </c>
      <c r="D20" s="381" t="s">
        <v>605</v>
      </c>
      <c r="E20" s="382">
        <v>5000</v>
      </c>
      <c r="F20" s="380" t="s">
        <v>942</v>
      </c>
    </row>
    <row r="21" spans="1:6" ht="15.75" thickTop="1">
      <c r="A21" s="602" t="s">
        <v>268</v>
      </c>
      <c r="B21" s="602"/>
      <c r="C21" s="602"/>
      <c r="D21" s="107"/>
      <c r="E21" s="107"/>
      <c r="F21" s="107"/>
    </row>
    <row r="22" spans="1:6" ht="28.5">
      <c r="A22" s="92">
        <v>1</v>
      </c>
      <c r="B22" s="1" t="s">
        <v>940</v>
      </c>
      <c r="C22" s="164" t="s">
        <v>932</v>
      </c>
      <c r="D22" s="1" t="s">
        <v>606</v>
      </c>
      <c r="E22" s="131">
        <f>500000/3500</f>
        <v>142.85714285714286</v>
      </c>
      <c r="F22" s="1" t="s">
        <v>611</v>
      </c>
    </row>
    <row r="23" spans="1:6" ht="28.5">
      <c r="A23" s="16">
        <v>2</v>
      </c>
      <c r="B23" s="16" t="s">
        <v>940</v>
      </c>
      <c r="C23" s="164" t="s">
        <v>563</v>
      </c>
      <c r="D23" s="16" t="s">
        <v>606</v>
      </c>
      <c r="E23" s="203">
        <f>700000/3500</f>
        <v>200</v>
      </c>
      <c r="F23" s="16" t="s">
        <v>611</v>
      </c>
    </row>
    <row r="24" spans="1:6" ht="28.5">
      <c r="A24" s="92">
        <v>3</v>
      </c>
      <c r="B24" s="1" t="s">
        <v>940</v>
      </c>
      <c r="C24" s="164" t="s">
        <v>917</v>
      </c>
      <c r="D24" s="1" t="s">
        <v>606</v>
      </c>
      <c r="E24" s="131">
        <f>650000/3500</f>
        <v>185.71428571428572</v>
      </c>
      <c r="F24" s="16" t="s">
        <v>611</v>
      </c>
    </row>
    <row r="25" spans="1:6" ht="28.5">
      <c r="A25" s="46">
        <v>4</v>
      </c>
      <c r="B25" s="1" t="s">
        <v>940</v>
      </c>
      <c r="C25" s="162" t="s">
        <v>913</v>
      </c>
      <c r="D25" s="16" t="s">
        <v>605</v>
      </c>
      <c r="E25" s="203">
        <f>750000/3500</f>
        <v>214.28571428571428</v>
      </c>
      <c r="F25" s="16" t="s">
        <v>611</v>
      </c>
    </row>
    <row r="26" spans="1:6" ht="28.5">
      <c r="A26" s="1">
        <v>5</v>
      </c>
      <c r="B26" s="1" t="s">
        <v>940</v>
      </c>
      <c r="C26" s="164" t="s">
        <v>914</v>
      </c>
      <c r="D26" s="1" t="s">
        <v>605</v>
      </c>
      <c r="E26" s="131">
        <f>950000/3500</f>
        <v>271.42857142857144</v>
      </c>
      <c r="F26" s="16" t="s">
        <v>611</v>
      </c>
    </row>
    <row r="27" spans="1:6" ht="28.5">
      <c r="A27" s="92">
        <v>6</v>
      </c>
      <c r="B27" s="1" t="s">
        <v>940</v>
      </c>
      <c r="C27" s="164" t="s">
        <v>915</v>
      </c>
      <c r="D27" s="1" t="s">
        <v>605</v>
      </c>
      <c r="E27" s="131">
        <f>450000/3500</f>
        <v>128.57142857142858</v>
      </c>
      <c r="F27" s="16" t="s">
        <v>611</v>
      </c>
    </row>
    <row r="28" spans="1:6" ht="28.5">
      <c r="A28" s="1">
        <v>7</v>
      </c>
      <c r="B28" s="1" t="s">
        <v>940</v>
      </c>
      <c r="C28" s="164" t="s">
        <v>916</v>
      </c>
      <c r="D28" s="1" t="s">
        <v>605</v>
      </c>
      <c r="E28" s="131">
        <f>450000/3500</f>
        <v>128.57142857142858</v>
      </c>
      <c r="F28" s="16" t="s">
        <v>611</v>
      </c>
    </row>
    <row r="29" spans="1:6" ht="28.5">
      <c r="A29" s="1">
        <v>8</v>
      </c>
      <c r="B29" s="1" t="s">
        <v>940</v>
      </c>
      <c r="C29" s="164" t="s">
        <v>918</v>
      </c>
      <c r="D29" s="1" t="s">
        <v>605</v>
      </c>
      <c r="E29" s="131">
        <f>650000/3500</f>
        <v>185.71428571428572</v>
      </c>
      <c r="F29" s="16" t="s">
        <v>611</v>
      </c>
    </row>
    <row r="30" spans="1:6" ht="28.5">
      <c r="A30" s="92">
        <v>9</v>
      </c>
      <c r="B30" s="1" t="s">
        <v>940</v>
      </c>
      <c r="C30" s="164" t="s">
        <v>930</v>
      </c>
      <c r="D30" s="1" t="s">
        <v>605</v>
      </c>
      <c r="E30" s="131">
        <f>350000/3500</f>
        <v>100</v>
      </c>
      <c r="F30" s="16" t="s">
        <v>611</v>
      </c>
    </row>
    <row r="31" spans="1:6" ht="28.5">
      <c r="A31" s="1">
        <v>10</v>
      </c>
      <c r="B31" s="1" t="s">
        <v>940</v>
      </c>
      <c r="C31" s="164" t="s">
        <v>931</v>
      </c>
      <c r="D31" s="1" t="s">
        <v>605</v>
      </c>
      <c r="E31" s="131">
        <f>750000/3500</f>
        <v>214.28571428571428</v>
      </c>
      <c r="F31" s="16" t="s">
        <v>611</v>
      </c>
    </row>
    <row r="32" spans="1:6" ht="28.5">
      <c r="A32" s="92">
        <v>11</v>
      </c>
      <c r="B32" s="1" t="s">
        <v>940</v>
      </c>
      <c r="C32" s="164" t="s">
        <v>933</v>
      </c>
      <c r="D32" s="1" t="s">
        <v>605</v>
      </c>
      <c r="E32" s="131">
        <f>200000/3500</f>
        <v>57.142857142857146</v>
      </c>
      <c r="F32" s="16" t="s">
        <v>611</v>
      </c>
    </row>
    <row r="33" spans="1:6" ht="28.5">
      <c r="A33" s="1">
        <v>12</v>
      </c>
      <c r="B33" s="1" t="s">
        <v>940</v>
      </c>
      <c r="C33" s="164" t="s">
        <v>934</v>
      </c>
      <c r="D33" s="1" t="s">
        <v>605</v>
      </c>
      <c r="E33" s="131">
        <f>200000/3500</f>
        <v>57.142857142857146</v>
      </c>
      <c r="F33" s="1" t="s">
        <v>611</v>
      </c>
    </row>
    <row r="34" spans="1:6" s="395" customFormat="1" ht="15.75" thickBot="1">
      <c r="A34" s="402" t="s">
        <v>414</v>
      </c>
      <c r="B34" s="403"/>
      <c r="C34" s="470"/>
      <c r="D34" s="403"/>
      <c r="E34" s="403"/>
      <c r="F34" s="404"/>
    </row>
    <row r="35" spans="1:6" ht="29.25" thickTop="1">
      <c r="A35" s="27">
        <v>1</v>
      </c>
      <c r="B35" s="16" t="s">
        <v>940</v>
      </c>
      <c r="C35" s="262" t="s">
        <v>424</v>
      </c>
      <c r="D35" s="27" t="s">
        <v>605</v>
      </c>
      <c r="E35" s="135">
        <f>200000/3500</f>
        <v>57.142857142857146</v>
      </c>
      <c r="F35" s="16" t="s">
        <v>611</v>
      </c>
    </row>
    <row r="36" spans="1:6" ht="42.75">
      <c r="A36" s="4">
        <v>2</v>
      </c>
      <c r="B36" s="1" t="s">
        <v>940</v>
      </c>
      <c r="C36" s="17" t="s">
        <v>423</v>
      </c>
      <c r="D36" s="27" t="s">
        <v>605</v>
      </c>
      <c r="E36" s="136">
        <f>320000/3500</f>
        <v>91.42857142857143</v>
      </c>
      <c r="F36" s="1" t="s">
        <v>611</v>
      </c>
    </row>
    <row r="37" spans="1:6" ht="42.75">
      <c r="A37" s="4">
        <v>3</v>
      </c>
      <c r="B37" s="1" t="s">
        <v>940</v>
      </c>
      <c r="C37" s="17" t="s">
        <v>415</v>
      </c>
      <c r="D37" s="27" t="s">
        <v>605</v>
      </c>
      <c r="E37" s="136">
        <f>700000/3500</f>
        <v>200</v>
      </c>
      <c r="F37" s="1" t="s">
        <v>611</v>
      </c>
    </row>
    <row r="38" spans="1:6" ht="28.5">
      <c r="A38" s="27">
        <v>4</v>
      </c>
      <c r="B38" s="1" t="s">
        <v>940</v>
      </c>
      <c r="C38" s="17" t="s">
        <v>416</v>
      </c>
      <c r="D38" s="27" t="s">
        <v>605</v>
      </c>
      <c r="E38" s="136">
        <f>700000/3500</f>
        <v>200</v>
      </c>
      <c r="F38" s="1" t="s">
        <v>611</v>
      </c>
    </row>
    <row r="39" spans="1:6" ht="28.5">
      <c r="A39" s="4">
        <v>5</v>
      </c>
      <c r="B39" s="1" t="s">
        <v>940</v>
      </c>
      <c r="C39" s="17" t="s">
        <v>417</v>
      </c>
      <c r="D39" s="27" t="s">
        <v>605</v>
      </c>
      <c r="E39" s="136">
        <f>800000/3500</f>
        <v>228.57142857142858</v>
      </c>
      <c r="F39" s="1" t="s">
        <v>611</v>
      </c>
    </row>
    <row r="40" spans="1:6" ht="28.5">
      <c r="A40" s="4">
        <v>6</v>
      </c>
      <c r="B40" s="1" t="s">
        <v>940</v>
      </c>
      <c r="C40" s="17" t="s">
        <v>425</v>
      </c>
      <c r="D40" s="27" t="s">
        <v>605</v>
      </c>
      <c r="E40" s="136">
        <f>62000/3500</f>
        <v>17.714285714285715</v>
      </c>
      <c r="F40" s="1" t="s">
        <v>611</v>
      </c>
    </row>
    <row r="41" spans="1:6" ht="28.5">
      <c r="A41" s="27">
        <v>7</v>
      </c>
      <c r="B41" s="1" t="s">
        <v>940</v>
      </c>
      <c r="C41" s="17" t="s">
        <v>418</v>
      </c>
      <c r="D41" s="27" t="s">
        <v>605</v>
      </c>
      <c r="E41" s="136">
        <f>800000/3500</f>
        <v>228.57142857142858</v>
      </c>
      <c r="F41" s="1" t="s">
        <v>611</v>
      </c>
    </row>
    <row r="42" spans="1:6" ht="28.5">
      <c r="A42" s="4">
        <v>8</v>
      </c>
      <c r="B42" s="1" t="s">
        <v>940</v>
      </c>
      <c r="C42" s="17" t="s">
        <v>419</v>
      </c>
      <c r="D42" s="27" t="s">
        <v>605</v>
      </c>
      <c r="E42" s="136">
        <f>470000/3500</f>
        <v>134.28571428571428</v>
      </c>
      <c r="F42" s="1" t="s">
        <v>611</v>
      </c>
    </row>
    <row r="43" spans="1:6" ht="28.5">
      <c r="A43" s="4">
        <v>9</v>
      </c>
      <c r="B43" s="1" t="s">
        <v>940</v>
      </c>
      <c r="C43" s="17" t="s">
        <v>420</v>
      </c>
      <c r="D43" s="27" t="s">
        <v>605</v>
      </c>
      <c r="E43" s="136">
        <f>14000/3500</f>
        <v>4</v>
      </c>
      <c r="F43" s="1" t="s">
        <v>611</v>
      </c>
    </row>
    <row r="44" spans="1:6" ht="28.5">
      <c r="A44" s="27">
        <v>10</v>
      </c>
      <c r="B44" s="1" t="s">
        <v>940</v>
      </c>
      <c r="C44" s="17" t="s">
        <v>421</v>
      </c>
      <c r="D44" s="27" t="s">
        <v>605</v>
      </c>
      <c r="E44" s="136">
        <f>700000/3500</f>
        <v>200</v>
      </c>
      <c r="F44" s="1" t="s">
        <v>611</v>
      </c>
    </row>
    <row r="45" spans="1:6" ht="42.75">
      <c r="A45" s="4">
        <v>11</v>
      </c>
      <c r="B45" s="1" t="s">
        <v>940</v>
      </c>
      <c r="C45" s="17" t="s">
        <v>422</v>
      </c>
      <c r="D45" s="27" t="s">
        <v>605</v>
      </c>
      <c r="E45" s="136">
        <f>400000/3500</f>
        <v>114.28571428571429</v>
      </c>
      <c r="F45" s="1" t="s">
        <v>611</v>
      </c>
    </row>
    <row r="46" ht="13.5" thickBot="1"/>
    <row r="47" spans="1:6" ht="15.75" thickBot="1">
      <c r="A47" s="434">
        <f>A6+A11+A20+A33+A45</f>
        <v>37</v>
      </c>
      <c r="B47" s="465"/>
      <c r="C47" s="460" t="s">
        <v>564</v>
      </c>
      <c r="D47" s="466"/>
      <c r="E47" s="467">
        <f>SUM(E5:E45)</f>
        <v>91114.8132046332</v>
      </c>
      <c r="F47" s="468"/>
    </row>
    <row r="48" spans="1:5" ht="15">
      <c r="A48" s="464"/>
      <c r="C48" s="408"/>
      <c r="E48" s="385"/>
    </row>
    <row r="49" spans="3:5" ht="15">
      <c r="C49" s="439" t="s">
        <v>921</v>
      </c>
      <c r="E49" s="385">
        <f>SUM(E24+E23+E22+E16+E15+E14+E13+E11+E10+E9+E8+E6+E5)</f>
        <v>82815.67034749035</v>
      </c>
    </row>
    <row r="50" spans="3:5" ht="15">
      <c r="C50" s="439" t="s">
        <v>922</v>
      </c>
      <c r="E50" s="385">
        <f>SUM(E47-E49)</f>
        <v>8299.142857142855</v>
      </c>
    </row>
  </sheetData>
  <mergeCells count="5">
    <mergeCell ref="B1:F1"/>
    <mergeCell ref="A4:F4"/>
    <mergeCell ref="A21:C21"/>
    <mergeCell ref="A12:C12"/>
    <mergeCell ref="A7:C7"/>
  </mergeCells>
  <printOptions horizontalCentered="1"/>
  <pageMargins left="0" right="0" top="1.1811023622047245" bottom="0.7874015748031497" header="0.5118110236220472" footer="0.5118110236220472"/>
  <pageSetup firstPageNumber="187" useFirstPageNumber="1" horizontalDpi="600" verticalDpi="600" orientation="landscape" paperSize="9" r:id="rId2"/>
  <headerFooter alignWithMargins="0">
    <oddFooter>&amp;LPartea a IV-a&amp;R&amp;P</oddFooter>
  </headerFooter>
  <rowBreaks count="3" manualBreakCount="3">
    <brk id="16" max="5" man="1"/>
    <brk id="31" max="5" man="1"/>
    <brk id="4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Calin</cp:lastModifiedBy>
  <cp:lastPrinted>2006-08-18T05:34:26Z</cp:lastPrinted>
  <dcterms:created xsi:type="dcterms:W3CDTF">2005-02-25T07:22:04Z</dcterms:created>
  <dcterms:modified xsi:type="dcterms:W3CDTF">2006-08-18T05:34:31Z</dcterms:modified>
  <cp:category/>
  <cp:version/>
  <cp:contentType/>
  <cp:contentStatus/>
</cp:coreProperties>
</file>